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35" windowWidth="19440" windowHeight="9780"/>
  </bookViews>
  <sheets>
    <sheet name="долгосрочный" sheetId="3" r:id="rId1"/>
    <sheet name="Лист1" sheetId="4" r:id="rId2"/>
  </sheets>
  <definedNames>
    <definedName name="_xlnm.Print_Titles" localSheetId="0">долгосрочный!$8:$10</definedName>
    <definedName name="_xlnm.Print_Area" localSheetId="0">долгосрочный!$A$1:$AW$82</definedName>
    <definedName name="Регионы">#REF!</definedName>
  </definedNames>
  <calcPr calcId="145621"/>
</workbook>
</file>

<file path=xl/calcChain.xml><?xml version="1.0" encoding="utf-8"?>
<calcChain xmlns="http://schemas.openxmlformats.org/spreadsheetml/2006/main">
  <c r="AE81" i="3" l="1"/>
  <c r="AC81" i="3"/>
  <c r="AD81" i="3"/>
  <c r="AF81" i="3" s="1"/>
  <c r="AH81" i="3" s="1"/>
  <c r="P77" i="3"/>
  <c r="O77" i="3"/>
  <c r="Z73" i="3"/>
  <c r="X73" i="3"/>
  <c r="V73" i="3"/>
  <c r="T73" i="3" l="1"/>
  <c r="R73" i="3"/>
  <c r="S73" i="3"/>
  <c r="Q73" i="3"/>
  <c r="P73" i="3"/>
  <c r="O73" i="3"/>
  <c r="M70" i="3"/>
  <c r="V69" i="3"/>
  <c r="U69" i="3"/>
  <c r="P70" i="3" l="1"/>
  <c r="O70" i="3"/>
  <c r="O59" i="3" l="1"/>
  <c r="P59" i="3"/>
  <c r="P54" i="3"/>
  <c r="P51" i="3"/>
  <c r="O48" i="3"/>
  <c r="P48" i="3"/>
  <c r="AH51" i="3"/>
  <c r="AF51" i="3"/>
  <c r="K37" i="3"/>
  <c r="P45" i="3"/>
  <c r="P42" i="3"/>
  <c r="O42" i="3"/>
  <c r="P39" i="3"/>
  <c r="O39" i="3"/>
  <c r="R33" i="3"/>
  <c r="Q33" i="3"/>
  <c r="P33" i="3"/>
  <c r="O33" i="3"/>
  <c r="M33" i="3"/>
  <c r="K33" i="3"/>
  <c r="P12" i="3" l="1"/>
  <c r="O12" i="3"/>
  <c r="S12" i="3"/>
  <c r="M81" i="3"/>
  <c r="P81" i="3" l="1"/>
  <c r="O81" i="3"/>
  <c r="Q81" i="3" s="1"/>
  <c r="N81" i="3"/>
  <c r="N73" i="3" l="1"/>
  <c r="M73" i="3"/>
  <c r="N77" i="3"/>
  <c r="N70" i="3"/>
  <c r="N59" i="3"/>
  <c r="M59" i="3"/>
  <c r="K59" i="3"/>
  <c r="N54" i="3"/>
  <c r="M54" i="3"/>
  <c r="N51" i="3"/>
  <c r="M51" i="3"/>
  <c r="N48" i="3"/>
  <c r="M48" i="3"/>
  <c r="N45" i="3"/>
  <c r="M45" i="3"/>
  <c r="N42" i="3"/>
  <c r="M42" i="3"/>
  <c r="K45" i="3"/>
  <c r="N39" i="3" l="1"/>
  <c r="M39" i="3"/>
  <c r="N33" i="3" l="1"/>
  <c r="AL12" i="3" l="1"/>
  <c r="AK12" i="3"/>
  <c r="AJ12" i="3"/>
  <c r="AI12" i="3"/>
  <c r="AH12" i="3"/>
  <c r="AG12" i="3"/>
  <c r="AF12" i="3"/>
  <c r="AE12" i="3"/>
  <c r="AD12" i="3"/>
  <c r="AC12" i="3"/>
  <c r="AB12" i="3"/>
  <c r="AA12" i="3"/>
  <c r="Z12" i="3"/>
  <c r="Y12" i="3"/>
  <c r="X12" i="3"/>
  <c r="W12" i="3"/>
  <c r="V12" i="3"/>
  <c r="U12" i="3"/>
  <c r="T12" i="3"/>
  <c r="R12" i="3"/>
  <c r="Q12" i="3"/>
  <c r="N12" i="3"/>
  <c r="M12" i="3"/>
  <c r="K12" i="3"/>
  <c r="L70" i="3" l="1"/>
  <c r="L73" i="3"/>
  <c r="L77" i="3"/>
  <c r="I70" i="3" l="1"/>
  <c r="L59" i="3" l="1"/>
  <c r="L39" i="3" l="1"/>
  <c r="L54" i="3"/>
  <c r="L51" i="3"/>
  <c r="L48" i="3"/>
  <c r="L45" i="3"/>
  <c r="L42" i="3" l="1"/>
  <c r="L33" i="3"/>
  <c r="H37" i="3" l="1"/>
  <c r="H30" i="3" s="1"/>
  <c r="I42" i="3"/>
  <c r="O45" i="3"/>
  <c r="Q45" i="3"/>
  <c r="R45" i="3"/>
  <c r="S45" i="3"/>
  <c r="T45" i="3"/>
  <c r="U45" i="3"/>
  <c r="V45" i="3"/>
  <c r="W45" i="3"/>
  <c r="X45" i="3"/>
  <c r="Y45" i="3"/>
  <c r="Z45" i="3"/>
  <c r="AA45" i="3"/>
  <c r="AB45" i="3"/>
  <c r="AC45" i="3"/>
  <c r="AD45" i="3"/>
  <c r="AE45" i="3"/>
  <c r="AF45" i="3"/>
  <c r="AG45" i="3"/>
  <c r="AH45" i="3"/>
  <c r="AI45" i="3"/>
  <c r="AJ45" i="3"/>
  <c r="AK45" i="3"/>
  <c r="AL45" i="3"/>
  <c r="J45" i="3"/>
  <c r="I45" i="3"/>
  <c r="K48" i="3"/>
  <c r="Q48" i="3"/>
  <c r="R48" i="3"/>
  <c r="S48" i="3"/>
  <c r="T48" i="3"/>
  <c r="U48" i="3"/>
  <c r="V48" i="3"/>
  <c r="W48" i="3"/>
  <c r="X48" i="3"/>
  <c r="Y48" i="3"/>
  <c r="Z48" i="3"/>
  <c r="AA48" i="3"/>
  <c r="AB48" i="3"/>
  <c r="AC48" i="3"/>
  <c r="AD48" i="3"/>
  <c r="AE48" i="3"/>
  <c r="AF48" i="3"/>
  <c r="AG48" i="3"/>
  <c r="AH48" i="3"/>
  <c r="AI48" i="3"/>
  <c r="AJ48" i="3"/>
  <c r="AK48" i="3"/>
  <c r="AL48" i="3"/>
  <c r="J48" i="3"/>
  <c r="I48" i="3"/>
  <c r="Q54" i="3"/>
  <c r="O51" i="3"/>
  <c r="K51" i="3"/>
  <c r="J51" i="3"/>
  <c r="I51" i="3"/>
  <c r="J54" i="3"/>
  <c r="I54" i="3"/>
  <c r="I37" i="3"/>
  <c r="I36" i="3" l="1"/>
  <c r="K42" i="3"/>
  <c r="Q42" i="3"/>
  <c r="R42" i="3"/>
  <c r="S42" i="3"/>
  <c r="T42" i="3"/>
  <c r="U42" i="3"/>
  <c r="V42" i="3"/>
  <c r="W42" i="3"/>
  <c r="X42" i="3"/>
  <c r="Y42" i="3"/>
  <c r="Z42" i="3"/>
  <c r="AA42" i="3"/>
  <c r="AB42" i="3"/>
  <c r="AC42" i="3"/>
  <c r="AD42" i="3"/>
  <c r="AE42" i="3"/>
  <c r="AF42" i="3"/>
  <c r="AG42" i="3"/>
  <c r="AH42" i="3"/>
  <c r="AI42" i="3"/>
  <c r="AJ42" i="3"/>
  <c r="AK42" i="3"/>
  <c r="AL42" i="3"/>
  <c r="J42" i="3"/>
  <c r="AL39" i="3"/>
  <c r="K39" i="3"/>
  <c r="Q39" i="3"/>
  <c r="R39" i="3"/>
  <c r="S39" i="3"/>
  <c r="T39" i="3"/>
  <c r="U39" i="3"/>
  <c r="V39" i="3"/>
  <c r="W39" i="3"/>
  <c r="X39" i="3"/>
  <c r="Y39" i="3"/>
  <c r="Z39" i="3"/>
  <c r="AA39" i="3"/>
  <c r="AB39" i="3"/>
  <c r="AC39" i="3"/>
  <c r="AD39" i="3"/>
  <c r="AE39" i="3"/>
  <c r="AF39" i="3"/>
  <c r="AG39" i="3"/>
  <c r="AH39" i="3"/>
  <c r="AI39" i="3"/>
  <c r="AJ39" i="3"/>
  <c r="AK39" i="3"/>
  <c r="J39" i="3"/>
  <c r="I39" i="3"/>
  <c r="I33" i="3"/>
  <c r="H54" i="3"/>
  <c r="H51" i="3"/>
  <c r="H48" i="3"/>
  <c r="H45" i="3"/>
  <c r="H42" i="3"/>
  <c r="H39" i="3"/>
  <c r="J81" i="3" l="1"/>
  <c r="K77" i="3"/>
  <c r="M77" i="3"/>
  <c r="J77" i="3"/>
  <c r="I77" i="3"/>
  <c r="G77" i="3"/>
  <c r="H77" i="3"/>
  <c r="F77" i="3"/>
  <c r="I73" i="3" l="1"/>
  <c r="K73" i="3"/>
  <c r="H73" i="3"/>
  <c r="G73" i="3"/>
  <c r="F73" i="3"/>
  <c r="J73" i="3" l="1"/>
  <c r="K70" i="3" l="1"/>
  <c r="J70" i="3"/>
  <c r="H70" i="3" l="1"/>
  <c r="G70" i="3"/>
  <c r="F70" i="3" l="1"/>
  <c r="G62" i="3"/>
  <c r="H63" i="3" s="1"/>
  <c r="J62" i="3" l="1"/>
  <c r="J63" i="3" s="1"/>
  <c r="G63" i="3"/>
  <c r="J59" i="3"/>
  <c r="Q59" i="3"/>
  <c r="R59" i="3"/>
  <c r="S59" i="3"/>
  <c r="T59" i="3"/>
  <c r="U59" i="3"/>
  <c r="V59" i="3"/>
  <c r="W59" i="3"/>
  <c r="X59" i="3"/>
  <c r="Y59" i="3"/>
  <c r="Z59" i="3"/>
  <c r="AA59" i="3"/>
  <c r="AB59" i="3"/>
  <c r="AC59" i="3"/>
  <c r="AD59" i="3"/>
  <c r="AE59" i="3"/>
  <c r="AF59" i="3"/>
  <c r="AG59" i="3"/>
  <c r="AH59" i="3"/>
  <c r="AI59" i="3"/>
  <c r="AJ59" i="3"/>
  <c r="AK59" i="3"/>
  <c r="AL59" i="3"/>
  <c r="I59" i="3"/>
  <c r="H59" i="3"/>
  <c r="G59" i="3"/>
  <c r="J33" i="3"/>
  <c r="H33" i="3"/>
  <c r="G33" i="3"/>
  <c r="E37" i="3"/>
  <c r="E30" i="3" s="1"/>
  <c r="BJ33" i="3"/>
  <c r="BF38" i="3"/>
  <c r="BF37" i="3" s="1"/>
  <c r="BE38" i="3"/>
  <c r="BE37" i="3" s="1"/>
  <c r="BD38" i="3"/>
  <c r="BD37" i="3" s="1"/>
  <c r="BC38" i="3"/>
  <c r="BC37" i="3" s="1"/>
  <c r="BB38" i="3"/>
  <c r="BB37" i="3" s="1"/>
  <c r="BA38" i="3"/>
  <c r="BA37" i="3" s="1"/>
  <c r="AZ38" i="3"/>
  <c r="AZ37" i="3" s="1"/>
  <c r="AY38" i="3"/>
  <c r="AY37" i="3" s="1"/>
  <c r="AX38" i="3"/>
  <c r="AX37" i="3" s="1"/>
  <c r="AW38" i="3"/>
  <c r="AW37" i="3" s="1"/>
  <c r="AV38" i="3"/>
  <c r="AV37" i="3" s="1"/>
  <c r="AU38" i="3"/>
  <c r="AU37" i="3" s="1"/>
  <c r="AT38" i="3"/>
  <c r="AT37" i="3" s="1"/>
  <c r="AS38" i="3"/>
  <c r="AS37" i="3" s="1"/>
  <c r="AR38" i="3"/>
  <c r="AR37" i="3" s="1"/>
  <c r="AQ38" i="3"/>
  <c r="AQ37" i="3" s="1"/>
  <c r="AP38" i="3"/>
  <c r="AP37" i="3" s="1"/>
  <c r="AR34" i="3"/>
  <c r="AS34" i="3" s="1"/>
  <c r="AT34" i="3" s="1"/>
  <c r="AU34" i="3" s="1"/>
  <c r="AV34" i="3" s="1"/>
  <c r="AW34" i="3" s="1"/>
  <c r="AX34" i="3" s="1"/>
  <c r="AY34" i="3" s="1"/>
  <c r="AZ34" i="3" s="1"/>
  <c r="BA34" i="3" s="1"/>
  <c r="BB34" i="3" s="1"/>
  <c r="BC34" i="3" s="1"/>
  <c r="BD34" i="3" s="1"/>
  <c r="BE34" i="3" s="1"/>
  <c r="BF34" i="3" s="1"/>
  <c r="AR33" i="3"/>
  <c r="AS33" i="3" s="1"/>
  <c r="AT33" i="3" s="1"/>
  <c r="AQ32" i="3"/>
  <c r="AP33" i="3"/>
  <c r="AP32" i="3" s="1"/>
  <c r="AP36" i="3" s="1"/>
  <c r="F27" i="3"/>
  <c r="G27" i="3"/>
  <c r="H27" i="3"/>
  <c r="G24" i="3"/>
  <c r="H24" i="3"/>
  <c r="G19" i="3"/>
  <c r="G16" i="3" s="1"/>
  <c r="G21" i="3"/>
  <c r="G23" i="3" s="1"/>
  <c r="H21" i="3"/>
  <c r="H23" i="3" s="1"/>
  <c r="G20" i="3"/>
  <c r="G22" i="3" s="1"/>
  <c r="H20" i="3"/>
  <c r="H22" i="3" s="1"/>
  <c r="H19" i="3"/>
  <c r="I63" i="3" l="1"/>
  <c r="H16" i="3"/>
  <c r="AR32" i="3"/>
  <c r="AQ39" i="3"/>
  <c r="AQ36" i="3"/>
  <c r="AU33" i="3"/>
  <c r="AT32" i="3"/>
  <c r="AS32" i="3"/>
  <c r="AP39" i="3"/>
  <c r="R81" i="3"/>
  <c r="S81" i="3"/>
  <c r="U81" i="3" s="1"/>
  <c r="W81" i="3" s="1"/>
  <c r="Y81" i="3" s="1"/>
  <c r="AG81" i="3" s="1"/>
  <c r="AI81" i="3" s="1"/>
  <c r="AJ81" i="3" l="1"/>
  <c r="T81" i="3"/>
  <c r="V81" i="3" s="1"/>
  <c r="X81" i="3" s="1"/>
  <c r="Z81" i="3" s="1"/>
  <c r="AR39" i="3"/>
  <c r="AR36" i="3"/>
  <c r="AT36" i="3"/>
  <c r="AT39" i="3"/>
  <c r="AS39" i="3"/>
  <c r="AS36" i="3"/>
  <c r="AU32" i="3"/>
  <c r="AV33" i="3"/>
  <c r="AU39" i="3" l="1"/>
  <c r="AU36" i="3"/>
  <c r="AV32" i="3"/>
  <c r="AW33" i="3"/>
  <c r="AV36" i="3" l="1"/>
  <c r="AV39" i="3"/>
  <c r="AX33" i="3"/>
  <c r="AW32" i="3"/>
  <c r="F37" i="3"/>
  <c r="F30" i="3" s="1"/>
  <c r="F31" i="3" s="1"/>
  <c r="AY33" i="3" l="1"/>
  <c r="AX32" i="3"/>
  <c r="AW39" i="3"/>
  <c r="AW36" i="3"/>
  <c r="Q77" i="3"/>
  <c r="R77" i="3"/>
  <c r="S77" i="3"/>
  <c r="T77" i="3"/>
  <c r="U77" i="3"/>
  <c r="V77" i="3"/>
  <c r="W77" i="3"/>
  <c r="X77" i="3"/>
  <c r="Y77" i="3"/>
  <c r="Z77" i="3"/>
  <c r="AA77" i="3"/>
  <c r="AB77" i="3"/>
  <c r="AC77" i="3"/>
  <c r="AD77" i="3"/>
  <c r="AE77" i="3"/>
  <c r="AF77" i="3"/>
  <c r="AG77" i="3"/>
  <c r="AH77" i="3"/>
  <c r="AI77" i="3"/>
  <c r="AJ77" i="3"/>
  <c r="AK77" i="3"/>
  <c r="AL77" i="3"/>
  <c r="AY32" i="3" l="1"/>
  <c r="AZ33" i="3"/>
  <c r="AX36" i="3"/>
  <c r="AX39" i="3"/>
  <c r="AY39" i="3" l="1"/>
  <c r="AY36" i="3"/>
  <c r="AZ32" i="3"/>
  <c r="BA33" i="3"/>
  <c r="I20" i="3"/>
  <c r="J20" i="3"/>
  <c r="K20" i="3"/>
  <c r="L20" i="3"/>
  <c r="M20" i="3"/>
  <c r="N20" i="3"/>
  <c r="O20" i="3"/>
  <c r="O22" i="3" s="1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F16" i="3" s="1"/>
  <c r="AG19" i="3"/>
  <c r="AH19" i="3"/>
  <c r="AI19" i="3"/>
  <c r="AJ19" i="3"/>
  <c r="AK19" i="3"/>
  <c r="I27" i="3"/>
  <c r="J27" i="3"/>
  <c r="K27" i="3"/>
  <c r="L27" i="3"/>
  <c r="M27" i="3"/>
  <c r="N27" i="3"/>
  <c r="O27" i="3"/>
  <c r="P27" i="3"/>
  <c r="Q27" i="3"/>
  <c r="R27" i="3"/>
  <c r="S27" i="3"/>
  <c r="T27" i="3"/>
  <c r="U27" i="3"/>
  <c r="V27" i="3"/>
  <c r="W27" i="3"/>
  <c r="X27" i="3"/>
  <c r="Y27" i="3"/>
  <c r="Z27" i="3"/>
  <c r="AA27" i="3"/>
  <c r="AB27" i="3"/>
  <c r="AC27" i="3"/>
  <c r="AE27" i="3"/>
  <c r="AG27" i="3"/>
  <c r="AH27" i="3"/>
  <c r="AI27" i="3"/>
  <c r="AJ27" i="3"/>
  <c r="AJ16" i="3" s="1"/>
  <c r="AK27" i="3"/>
  <c r="F63" i="3"/>
  <c r="L62" i="3"/>
  <c r="L63" i="3" s="1"/>
  <c r="F59" i="3"/>
  <c r="BA32" i="3" l="1"/>
  <c r="BB33" i="3"/>
  <c r="AZ36" i="3"/>
  <c r="AZ39" i="3"/>
  <c r="AB16" i="3"/>
  <c r="V16" i="3"/>
  <c r="R16" i="3"/>
  <c r="N16" i="3"/>
  <c r="Z16" i="3"/>
  <c r="AL16" i="3"/>
  <c r="K16" i="3"/>
  <c r="I16" i="3"/>
  <c r="AH16" i="3"/>
  <c r="AD16" i="3"/>
  <c r="X16" i="3"/>
  <c r="T16" i="3"/>
  <c r="P16" i="3"/>
  <c r="L16" i="3"/>
  <c r="J16" i="3"/>
  <c r="AK16" i="3"/>
  <c r="AI16" i="3"/>
  <c r="AG16" i="3"/>
  <c r="AE16" i="3"/>
  <c r="AC16" i="3"/>
  <c r="AA16" i="3"/>
  <c r="Y16" i="3"/>
  <c r="W16" i="3"/>
  <c r="U16" i="3"/>
  <c r="S16" i="3"/>
  <c r="Q16" i="3"/>
  <c r="O16" i="3"/>
  <c r="M16" i="3"/>
  <c r="BA39" i="3" l="1"/>
  <c r="BA36" i="3"/>
  <c r="BC33" i="3"/>
  <c r="BB32" i="3"/>
  <c r="BC32" i="3" l="1"/>
  <c r="BD33" i="3"/>
  <c r="BB36" i="3"/>
  <c r="BB39" i="3"/>
  <c r="N62" i="3"/>
  <c r="P62" i="3" s="1"/>
  <c r="N63" i="3" l="1"/>
  <c r="BC39" i="3"/>
  <c r="BC36" i="3"/>
  <c r="BE33" i="3"/>
  <c r="BD32" i="3"/>
  <c r="K63" i="3"/>
  <c r="M62" i="3"/>
  <c r="O62" i="3" s="1"/>
  <c r="P63" i="3" l="1"/>
  <c r="R62" i="3"/>
  <c r="M63" i="3"/>
  <c r="O63" i="3"/>
  <c r="BF33" i="3"/>
  <c r="BF32" i="3" s="1"/>
  <c r="BE32" i="3"/>
  <c r="BD36" i="3"/>
  <c r="BD39" i="3"/>
  <c r="R63" i="3" l="1"/>
  <c r="T62" i="3"/>
  <c r="BF36" i="3"/>
  <c r="BF39" i="3"/>
  <c r="BE39" i="3"/>
  <c r="BE36" i="3"/>
  <c r="Q62" i="3"/>
  <c r="V62" i="3" l="1"/>
  <c r="T63" i="3"/>
  <c r="Q63" i="3"/>
  <c r="S62" i="3"/>
  <c r="X62" i="3" l="1"/>
  <c r="V63" i="3"/>
  <c r="S63" i="3"/>
  <c r="U62" i="3"/>
  <c r="Z62" i="3" l="1"/>
  <c r="X63" i="3"/>
  <c r="U63" i="3"/>
  <c r="W62" i="3"/>
  <c r="AB62" i="3" l="1"/>
  <c r="Z63" i="3"/>
  <c r="W63" i="3"/>
  <c r="Y62" i="3"/>
  <c r="AD62" i="3" l="1"/>
  <c r="AB63" i="3"/>
  <c r="Y63" i="3"/>
  <c r="AA62" i="3"/>
  <c r="AF62" i="3" l="1"/>
  <c r="AD63" i="3"/>
  <c r="AA63" i="3"/>
  <c r="AC62" i="3"/>
  <c r="AH62" i="3" l="1"/>
  <c r="AF63" i="3"/>
  <c r="AC63" i="3"/>
  <c r="AE62" i="3"/>
  <c r="AJ62" i="3" l="1"/>
  <c r="AH63" i="3"/>
  <c r="AE63" i="3"/>
  <c r="AG62" i="3"/>
  <c r="AL62" i="3" l="1"/>
  <c r="AL63" i="3" s="1"/>
  <c r="AJ63" i="3"/>
  <c r="AG63" i="3"/>
  <c r="AI62" i="3"/>
  <c r="AI63" i="3" l="1"/>
  <c r="AK62" i="3"/>
  <c r="AK63" i="3" s="1"/>
  <c r="F33" i="3" l="1"/>
  <c r="K54" i="3"/>
  <c r="O54" i="3"/>
  <c r="R54" i="3"/>
  <c r="S54" i="3"/>
  <c r="T54" i="3"/>
  <c r="U54" i="3"/>
  <c r="V54" i="3"/>
  <c r="W54" i="3"/>
  <c r="X54" i="3"/>
  <c r="Y54" i="3"/>
  <c r="Z54" i="3"/>
  <c r="AA54" i="3"/>
  <c r="AB54" i="3"/>
  <c r="AC54" i="3"/>
  <c r="AD54" i="3"/>
  <c r="AE54" i="3"/>
  <c r="AF54" i="3"/>
  <c r="AG54" i="3"/>
  <c r="AH54" i="3"/>
  <c r="AI54" i="3"/>
  <c r="AJ54" i="3"/>
  <c r="AK54" i="3"/>
  <c r="AL54" i="3"/>
  <c r="G54" i="3"/>
  <c r="F54" i="3"/>
  <c r="Q51" i="3"/>
  <c r="R51" i="3"/>
  <c r="S51" i="3"/>
  <c r="T51" i="3"/>
  <c r="U51" i="3"/>
  <c r="V51" i="3"/>
  <c r="W51" i="3"/>
  <c r="X51" i="3"/>
  <c r="Y51" i="3"/>
  <c r="Z51" i="3"/>
  <c r="AA51" i="3"/>
  <c r="AB51" i="3"/>
  <c r="AC51" i="3"/>
  <c r="AD51" i="3"/>
  <c r="AE51" i="3"/>
  <c r="AG51" i="3"/>
  <c r="AI51" i="3"/>
  <c r="AJ51" i="3"/>
  <c r="AK51" i="3"/>
  <c r="AL51" i="3"/>
  <c r="G51" i="3"/>
  <c r="F51" i="3"/>
  <c r="F48" i="3"/>
  <c r="G48" i="3"/>
  <c r="F45" i="3"/>
  <c r="G45" i="3"/>
  <c r="G42" i="3"/>
  <c r="F42" i="3"/>
  <c r="F39" i="3"/>
  <c r="G39" i="3"/>
  <c r="F36" i="3" l="1"/>
  <c r="G37" i="3"/>
  <c r="H36" i="3" s="1"/>
  <c r="G30" i="3" l="1"/>
  <c r="G36" i="3"/>
  <c r="S33" i="3"/>
  <c r="T33" i="3"/>
  <c r="U33" i="3"/>
  <c r="V33" i="3"/>
  <c r="W33" i="3"/>
  <c r="X33" i="3"/>
  <c r="Y33" i="3"/>
  <c r="Z33" i="3"/>
  <c r="AA33" i="3"/>
  <c r="AB33" i="3"/>
  <c r="AC33" i="3"/>
  <c r="AD33" i="3"/>
  <c r="AE33" i="3"/>
  <c r="AF33" i="3"/>
  <c r="AG33" i="3"/>
  <c r="AH33" i="3"/>
  <c r="AI33" i="3"/>
  <c r="AJ33" i="3"/>
  <c r="AK33" i="3"/>
  <c r="AL33" i="3"/>
  <c r="BU38" i="3"/>
  <c r="BR38" i="3"/>
  <c r="BQ38" i="3"/>
  <c r="BP38" i="3"/>
  <c r="BO38" i="3"/>
  <c r="BL38" i="3"/>
  <c r="BK38" i="3"/>
  <c r="BV38" i="3"/>
  <c r="BW38" i="3"/>
  <c r="BX38" i="3"/>
  <c r="BS38" i="3"/>
  <c r="BT38" i="3"/>
  <c r="BM38" i="3"/>
  <c r="BN38" i="3"/>
  <c r="BI38" i="3"/>
  <c r="BI37" i="3" s="1"/>
  <c r="BJ38" i="3"/>
  <c r="BH38" i="3"/>
  <c r="BH37" i="3" s="1"/>
  <c r="G31" i="3" l="1"/>
  <c r="H31" i="3"/>
  <c r="AK37" i="3"/>
  <c r="AK30" i="3" s="1"/>
  <c r="AL37" i="3"/>
  <c r="AL30" i="3" s="1"/>
  <c r="P37" i="3" l="1"/>
  <c r="Q37" i="3"/>
  <c r="Q30" i="3" s="1"/>
  <c r="R37" i="3"/>
  <c r="S37" i="3"/>
  <c r="T37" i="3"/>
  <c r="U37" i="3"/>
  <c r="V37" i="3"/>
  <c r="W37" i="3"/>
  <c r="X37" i="3"/>
  <c r="Y37" i="3"/>
  <c r="Z37" i="3"/>
  <c r="AA37" i="3"/>
  <c r="AB37" i="3"/>
  <c r="AC37" i="3"/>
  <c r="AD37" i="3"/>
  <c r="AE37" i="3"/>
  <c r="AF37" i="3"/>
  <c r="AG37" i="3"/>
  <c r="AH37" i="3"/>
  <c r="AI37" i="3"/>
  <c r="AJ37" i="3"/>
  <c r="BJ37" i="3"/>
  <c r="BK37" i="3"/>
  <c r="BL37" i="3"/>
  <c r="BM37" i="3"/>
  <c r="BN37" i="3"/>
  <c r="BO37" i="3"/>
  <c r="BP37" i="3"/>
  <c r="BQ37" i="3"/>
  <c r="BR37" i="3"/>
  <c r="BS37" i="3"/>
  <c r="BT37" i="3"/>
  <c r="BU37" i="3"/>
  <c r="BV37" i="3"/>
  <c r="BW37" i="3"/>
  <c r="BX37" i="3"/>
  <c r="AP22" i="3"/>
  <c r="AP23" i="3"/>
  <c r="I30" i="3"/>
  <c r="J37" i="3"/>
  <c r="J36" i="3" s="1"/>
  <c r="K36" i="3"/>
  <c r="L37" i="3"/>
  <c r="L36" i="3" s="1"/>
  <c r="M37" i="3"/>
  <c r="N37" i="3"/>
  <c r="O37" i="3"/>
  <c r="AO14" i="3"/>
  <c r="AN14" i="3"/>
  <c r="AM14" i="3"/>
  <c r="O36" i="3" l="1"/>
  <c r="P30" i="3"/>
  <c r="P36" i="3"/>
  <c r="M36" i="3"/>
  <c r="N36" i="3"/>
  <c r="O30" i="3"/>
  <c r="Q36" i="3"/>
  <c r="M30" i="3"/>
  <c r="K30" i="3"/>
  <c r="K31" i="3" s="1"/>
  <c r="I31" i="3"/>
  <c r="AJ36" i="3"/>
  <c r="AJ30" i="3"/>
  <c r="AL31" i="3" s="1"/>
  <c r="AH36" i="3"/>
  <c r="AH30" i="3"/>
  <c r="AF36" i="3"/>
  <c r="AF30" i="3"/>
  <c r="AD36" i="3"/>
  <c r="AD30" i="3"/>
  <c r="AB36" i="3"/>
  <c r="AB30" i="3"/>
  <c r="Z36" i="3"/>
  <c r="Z30" i="3"/>
  <c r="X36" i="3"/>
  <c r="X30" i="3"/>
  <c r="V36" i="3"/>
  <c r="V30" i="3"/>
  <c r="T36" i="3"/>
  <c r="T30" i="3"/>
  <c r="R36" i="3"/>
  <c r="R30" i="3"/>
  <c r="N30" i="3"/>
  <c r="L30" i="3"/>
  <c r="L31" i="3" s="1"/>
  <c r="J30" i="3"/>
  <c r="J31" i="3" s="1"/>
  <c r="AI36" i="3"/>
  <c r="AI30" i="3"/>
  <c r="AK31" i="3" s="1"/>
  <c r="AG36" i="3"/>
  <c r="AG30" i="3"/>
  <c r="AE36" i="3"/>
  <c r="AE30" i="3"/>
  <c r="AC36" i="3"/>
  <c r="AC30" i="3"/>
  <c r="AA36" i="3"/>
  <c r="AA30" i="3"/>
  <c r="Y36" i="3"/>
  <c r="Y30" i="3"/>
  <c r="W36" i="3"/>
  <c r="W30" i="3"/>
  <c r="U36" i="3"/>
  <c r="U30" i="3"/>
  <c r="S36" i="3"/>
  <c r="S30" i="3"/>
  <c r="S31" i="3" s="1"/>
  <c r="AK36" i="3"/>
  <c r="AL36" i="3"/>
  <c r="BK33" i="3"/>
  <c r="BL33" i="3" s="1"/>
  <c r="BM33" i="3" s="1"/>
  <c r="BN33" i="3" s="1"/>
  <c r="BO33" i="3" s="1"/>
  <c r="BP33" i="3" s="1"/>
  <c r="BQ33" i="3" s="1"/>
  <c r="BR33" i="3" s="1"/>
  <c r="BS33" i="3" s="1"/>
  <c r="BT33" i="3" s="1"/>
  <c r="BU33" i="3" s="1"/>
  <c r="BV33" i="3" s="1"/>
  <c r="BW33" i="3" s="1"/>
  <c r="BX33" i="3" s="1"/>
  <c r="AP14" i="3"/>
  <c r="O31" i="3" l="1"/>
  <c r="P31" i="3"/>
  <c r="M31" i="3"/>
  <c r="N31" i="3"/>
  <c r="Q31" i="3"/>
  <c r="V31" i="3"/>
  <c r="Y31" i="3"/>
  <c r="AF31" i="3"/>
  <c r="AC31" i="3"/>
  <c r="X31" i="3"/>
  <c r="T31" i="3"/>
  <c r="AI31" i="3"/>
  <c r="AJ31" i="3"/>
  <c r="AH31" i="3"/>
  <c r="AG31" i="3"/>
  <c r="AE31" i="3"/>
  <c r="AD31" i="3"/>
  <c r="AA31" i="3"/>
  <c r="AB31" i="3"/>
  <c r="Z31" i="3"/>
  <c r="W31" i="3"/>
  <c r="U31" i="3"/>
  <c r="R31" i="3"/>
  <c r="AR22" i="3"/>
  <c r="AR14" i="3"/>
  <c r="S24" i="3" l="1"/>
  <c r="U24" i="3"/>
  <c r="I24" i="3"/>
  <c r="S23" i="3" l="1"/>
  <c r="U23" i="3"/>
  <c r="W24" i="3"/>
  <c r="K24" i="3"/>
  <c r="W23" i="3" l="1"/>
  <c r="Q24" i="3"/>
  <c r="P24" i="3"/>
  <c r="M24" i="3"/>
  <c r="O24" i="3"/>
  <c r="O23" i="3" l="1"/>
  <c r="P23" i="3"/>
  <c r="Q23" i="3"/>
  <c r="AA24" i="3"/>
  <c r="Y24" i="3"/>
  <c r="Y23" i="3" l="1"/>
  <c r="Y22" i="3"/>
  <c r="AA22" i="3"/>
  <c r="AA23" i="3"/>
  <c r="AC24" i="3"/>
  <c r="B14" i="3"/>
  <c r="B22" i="3" s="1"/>
  <c r="B23" i="3" s="1"/>
  <c r="B24" i="3" s="1"/>
  <c r="AC22" i="3" l="1"/>
  <c r="AC23" i="3"/>
  <c r="B30" i="3"/>
  <c r="B33" i="3" s="1"/>
  <c r="B36" i="3" s="1"/>
  <c r="B39" i="3" s="1"/>
  <c r="AE24" i="3" l="1"/>
  <c r="AG24" i="3"/>
  <c r="B42" i="3"/>
  <c r="B45" i="3" s="1"/>
  <c r="B48" i="3" s="1"/>
  <c r="B51" i="3" s="1"/>
  <c r="B54" i="3" s="1"/>
  <c r="B58" i="3" s="1"/>
  <c r="B59" i="3" s="1"/>
  <c r="B60" i="3" s="1"/>
  <c r="B64" i="3" s="1"/>
  <c r="B67" i="3" s="1"/>
  <c r="B68" i="3" s="1"/>
  <c r="B69" i="3" s="1"/>
  <c r="B70" i="3" s="1"/>
  <c r="B71" i="3" s="1"/>
  <c r="B72" i="3" s="1"/>
  <c r="B73" i="3" s="1"/>
  <c r="B74" i="3" s="1"/>
  <c r="B76" i="3" s="1"/>
  <c r="B77" i="3" s="1"/>
  <c r="B78" i="3" s="1"/>
  <c r="B80" i="3" s="1"/>
  <c r="AG23" i="3" l="1"/>
  <c r="AG22" i="3"/>
  <c r="AE22" i="3"/>
  <c r="AE23" i="3"/>
  <c r="AI24" i="3"/>
  <c r="AI23" i="3" l="1"/>
  <c r="AI22" i="3"/>
  <c r="AK24" i="3"/>
  <c r="AK23" i="3" l="1"/>
  <c r="AK22" i="3"/>
  <c r="BH36" i="3"/>
  <c r="BH32" i="3"/>
  <c r="BH39" i="3" s="1"/>
  <c r="BI32" i="3"/>
  <c r="BI36" i="3" l="1"/>
  <c r="BI39" i="3"/>
  <c r="BJ34" i="3"/>
  <c r="BK34" i="3" l="1"/>
  <c r="BJ32" i="3"/>
  <c r="BL34" i="3" l="1"/>
  <c r="BK32" i="3"/>
  <c r="BJ36" i="3"/>
  <c r="BJ39" i="3"/>
  <c r="J12" i="3"/>
  <c r="BL32" i="3" l="1"/>
  <c r="BM34" i="3"/>
  <c r="J22" i="3"/>
  <c r="J24" i="3"/>
  <c r="J23" i="3"/>
  <c r="BK39" i="3"/>
  <c r="BK36" i="3"/>
  <c r="L22" i="3" l="1"/>
  <c r="L24" i="3"/>
  <c r="L23" i="3"/>
  <c r="BL39" i="3"/>
  <c r="BL36" i="3"/>
  <c r="BM32" i="3"/>
  <c r="BN34" i="3"/>
  <c r="BM36" i="3" l="1"/>
  <c r="BM39" i="3"/>
  <c r="BN32" i="3"/>
  <c r="BO34" i="3"/>
  <c r="N24" i="3"/>
  <c r="N22" i="3"/>
  <c r="N23" i="3"/>
  <c r="BP34" i="3" l="1"/>
  <c r="BO32" i="3"/>
  <c r="R24" i="3"/>
  <c r="R23" i="3"/>
  <c r="BN39" i="3"/>
  <c r="BN36" i="3"/>
  <c r="BP32" i="3" l="1"/>
  <c r="BQ34" i="3"/>
  <c r="BO36" i="3"/>
  <c r="BO39" i="3"/>
  <c r="BP39" i="3" l="1"/>
  <c r="BP36" i="3"/>
  <c r="T24" i="3"/>
  <c r="T23" i="3"/>
  <c r="BQ32" i="3"/>
  <c r="BR34" i="3"/>
  <c r="V23" i="3" l="1"/>
  <c r="V24" i="3"/>
  <c r="BQ36" i="3"/>
  <c r="BQ39" i="3"/>
  <c r="BR32" i="3"/>
  <c r="BS34" i="3"/>
  <c r="X24" i="3" l="1"/>
  <c r="X23" i="3"/>
  <c r="X22" i="3"/>
  <c r="Z24" i="3"/>
  <c r="Z23" i="3"/>
  <c r="Z22" i="3"/>
  <c r="BR36" i="3"/>
  <c r="BR39" i="3"/>
  <c r="BT34" i="3"/>
  <c r="BS32" i="3"/>
  <c r="AB24" i="3" l="1"/>
  <c r="AB22" i="3"/>
  <c r="AB23" i="3"/>
  <c r="BT32" i="3"/>
  <c r="BU34" i="3"/>
  <c r="BS39" i="3"/>
  <c r="BS36" i="3"/>
  <c r="BU32" i="3" l="1"/>
  <c r="BV34" i="3"/>
  <c r="AD23" i="3"/>
  <c r="AD24" i="3"/>
  <c r="AD22" i="3"/>
  <c r="BT36" i="3"/>
  <c r="BT39" i="3"/>
  <c r="BU39" i="3" l="1"/>
  <c r="BU36" i="3"/>
  <c r="BV32" i="3"/>
  <c r="BW34" i="3"/>
  <c r="BX34" i="3" l="1"/>
  <c r="BX32" i="3" s="1"/>
  <c r="BW32" i="3"/>
  <c r="AH23" i="3"/>
  <c r="AH22" i="3"/>
  <c r="AH24" i="3"/>
  <c r="AF22" i="3"/>
  <c r="AF24" i="3"/>
  <c r="AF23" i="3"/>
  <c r="BV36" i="3"/>
  <c r="BV39" i="3"/>
  <c r="BX39" i="3" l="1"/>
  <c r="BX36" i="3"/>
  <c r="AJ23" i="3"/>
  <c r="AJ24" i="3"/>
  <c r="AJ22" i="3"/>
  <c r="BW39" i="3"/>
  <c r="AL24" i="3"/>
  <c r="BW36" i="3"/>
  <c r="AL23" i="3" l="1"/>
  <c r="AL22" i="3"/>
  <c r="W69" i="3"/>
  <c r="Y69" i="3" s="1"/>
  <c r="X69" i="3"/>
  <c r="Z69" i="3" s="1"/>
  <c r="AB69" i="3" s="1"/>
  <c r="AD69" i="3" s="1"/>
  <c r="AF69" i="3" s="1"/>
  <c r="AH69" i="3" l="1"/>
  <c r="AJ69" i="3" s="1"/>
  <c r="AL69" i="3" s="1"/>
  <c r="AA69" i="3"/>
  <c r="AC69" i="3" s="1"/>
  <c r="AE69" i="3" s="1"/>
  <c r="AG69" i="3" s="1"/>
  <c r="AI69" i="3" s="1"/>
  <c r="AK69" i="3" s="1"/>
  <c r="U72" i="3"/>
  <c r="W72" i="3" s="1"/>
  <c r="Y72" i="3" s="1"/>
  <c r="AA72" i="3" s="1"/>
  <c r="AC72" i="3" s="1"/>
  <c r="AE72" i="3" s="1"/>
  <c r="AG72" i="3" s="1"/>
  <c r="AI72" i="3" s="1"/>
  <c r="AK72" i="3" s="1"/>
  <c r="AB72" i="3"/>
  <c r="AD72" i="3" s="1"/>
  <c r="AF72" i="3" s="1"/>
  <c r="AH72" i="3" s="1"/>
  <c r="AJ72" i="3" s="1"/>
  <c r="AL72" i="3" s="1"/>
</calcChain>
</file>

<file path=xl/sharedStrings.xml><?xml version="1.0" encoding="utf-8"?>
<sst xmlns="http://schemas.openxmlformats.org/spreadsheetml/2006/main" count="168" uniqueCount="89">
  <si>
    <t>Население</t>
  </si>
  <si>
    <t>Продукция сельского хозяйства</t>
  </si>
  <si>
    <t>млн. руб.</t>
  </si>
  <si>
    <t>Индекс производства продукции сельского хозяйства</t>
  </si>
  <si>
    <t>в ценах соответствующих лет; млн. руб.</t>
  </si>
  <si>
    <t>% к предыдущему году в сопоставимых ценах</t>
  </si>
  <si>
    <t>Ввод в действие жилых домов</t>
  </si>
  <si>
    <t>тыс. кв. м. в общей площади</t>
  </si>
  <si>
    <t>%</t>
  </si>
  <si>
    <t>Оборот розничной торговли</t>
  </si>
  <si>
    <t>Объем платных услуг населению</t>
  </si>
  <si>
    <t>Инвестиции в основной капитал</t>
  </si>
  <si>
    <t>Индекс-дефлятор</t>
  </si>
  <si>
    <t>Уровень зарегистрированной безработицы (на конец года)</t>
  </si>
  <si>
    <t>Показатели</t>
  </si>
  <si>
    <t>Единица измерения</t>
  </si>
  <si>
    <t>отчет</t>
  </si>
  <si>
    <t>оценка</t>
  </si>
  <si>
    <t>тыс.чел.</t>
  </si>
  <si>
    <t>% к предыдущему году</t>
  </si>
  <si>
    <t>Ожидаемая продолжительность жизни при рождении</t>
  </si>
  <si>
    <t>число лет</t>
  </si>
  <si>
    <t>Общий коэффициент рождаемости</t>
  </si>
  <si>
    <t>число родившихся на 1000 человек населения</t>
  </si>
  <si>
    <t>Общий коэффициент смертности</t>
  </si>
  <si>
    <t>число умерших на 1000 человек населения</t>
  </si>
  <si>
    <t xml:space="preserve">млн. руб. </t>
  </si>
  <si>
    <t xml:space="preserve">Индекс промышленного производства </t>
  </si>
  <si>
    <t>целевой</t>
  </si>
  <si>
    <t>Строительство</t>
  </si>
  <si>
    <t>Численность населения (в среднегодовом исчислении)</t>
  </si>
  <si>
    <t>% г/г</t>
  </si>
  <si>
    <t xml:space="preserve">Объем отгруженной продукции (работ. услуг) </t>
  </si>
  <si>
    <t>Обрабатывающие производства (раздел С)</t>
  </si>
  <si>
    <t>Производство пищевых продуктов (10)</t>
  </si>
  <si>
    <t>Обработка древесины и производство изделий из дерева и пробки, кроме мебели, производство изделий из соломки и материалов для плетения (16)</t>
  </si>
  <si>
    <t>Производство прочей неметаллической минеральной продукции (23)</t>
  </si>
  <si>
    <t>Ремонт и монтаж машин и оборудования (33)</t>
  </si>
  <si>
    <t>Обеспечение электрической энергией, газом и паром; кондиционирование воздуха (раздел D)</t>
  </si>
  <si>
    <t>Водоснабжение; водоотведение, организация сбора и утилизации отходов, деятельность по ликвидации загрязнений (раздел Е)</t>
  </si>
  <si>
    <t xml:space="preserve">Индекс-дефлятор </t>
  </si>
  <si>
    <t>Объем работ, выполненных по виду деятельности "Строительство"</t>
  </si>
  <si>
    <t>Индекс производства по виду деятельности "Строительство"</t>
  </si>
  <si>
    <t>Индекс-дефлятор по виду деятельности "Строительство"</t>
  </si>
  <si>
    <t>Индекс  потребительских цен на конец года</t>
  </si>
  <si>
    <t>% к декабрю предыдущего года</t>
  </si>
  <si>
    <t>Индекс  потребительских цен в среднем за год</t>
  </si>
  <si>
    <t>Темп роста оборота розничной торговли</t>
  </si>
  <si>
    <t>Темп роста объема платных услуг населению</t>
  </si>
  <si>
    <t>Темп рост объема инвестиций в основной капитал</t>
  </si>
  <si>
    <t>Промышленное производство</t>
  </si>
  <si>
    <t>Сельское хозяйство</t>
  </si>
  <si>
    <t xml:space="preserve"> Добыча полезных ископаемых (раздел В)</t>
  </si>
  <si>
    <t>Инвестиции</t>
  </si>
  <si>
    <t>6.</t>
  </si>
  <si>
    <t>5.</t>
  </si>
  <si>
    <t>4.</t>
  </si>
  <si>
    <t>1.</t>
  </si>
  <si>
    <t>Миграционный прирост (убыль)</t>
  </si>
  <si>
    <t>Торговля и услуги населению</t>
  </si>
  <si>
    <t xml:space="preserve">Индекс-дефлятор промышленного производства </t>
  </si>
  <si>
    <t>Объем отгруженных товаров</t>
  </si>
  <si>
    <t>Труд и денежные доходы населения</t>
  </si>
  <si>
    <t>базовый</t>
  </si>
  <si>
    <t>б</t>
  </si>
  <si>
    <t>ц</t>
  </si>
  <si>
    <t>Число родившихся</t>
  </si>
  <si>
    <t>Число умерших</t>
  </si>
  <si>
    <t>е</t>
  </si>
  <si>
    <t>м</t>
  </si>
  <si>
    <t>2.</t>
  </si>
  <si>
    <t>7.</t>
  </si>
  <si>
    <t>8.</t>
  </si>
  <si>
    <t>на 1000 человек населения</t>
  </si>
  <si>
    <t>Численность рабочей силы</t>
  </si>
  <si>
    <t xml:space="preserve">тыс. чел. </t>
  </si>
  <si>
    <t>Среднемесячная заработая плата</t>
  </si>
  <si>
    <t>рублей</t>
  </si>
  <si>
    <t>Основные показатели долгосрочного прогноза социально-экономического развития муниципального образования  "Заиграевский район"  на период до 2035 года</t>
  </si>
  <si>
    <t>Приложение №1</t>
  </si>
  <si>
    <t xml:space="preserve">% к предыдущему году </t>
  </si>
  <si>
    <t>млн. рублей</t>
  </si>
  <si>
    <t>сн</t>
  </si>
  <si>
    <t>гн</t>
  </si>
  <si>
    <t>прибывших</t>
  </si>
  <si>
    <t>выбывших</t>
  </si>
  <si>
    <t xml:space="preserve">  к долгосрочному прогнозу социально-экономического развития муниципального образования  "Заиграевский район"  на период до 2035 года</t>
  </si>
  <si>
    <t>Численность населения (на 1 января года)</t>
  </si>
  <si>
    <t>тыс. чел.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</si>
</sst>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0.0"/>
    <numFmt numFmtId="165" formatCode="0_)"/>
    <numFmt numFmtId="166" formatCode="#,##0.0"/>
    <numFmt numFmtId="167" formatCode="_-* #,##0.000_р_._-;\-* #,##0.000_р_._-;_-* &quot;-&quot;??_р_._-;_-@_-"/>
    <numFmt numFmtId="168" formatCode="0.000"/>
  </numFmts>
  <fonts count="40" x14ac:knownFonts="1">
    <font>
      <sz val="10"/>
      <name val="Arial Cyr"/>
      <charset val="204"/>
    </font>
    <font>
      <sz val="10"/>
      <name val="Arial Cyr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</font>
    <font>
      <sz val="12"/>
      <name val="Times New Roman"/>
      <family val="1"/>
      <charset val="204"/>
    </font>
    <font>
      <sz val="10"/>
      <name val="Courier"/>
      <family val="3"/>
    </font>
    <font>
      <sz val="14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2"/>
      <charset val="204"/>
    </font>
    <font>
      <sz val="10"/>
      <color rgb="FFFF0000"/>
      <name val="Arial Cyr"/>
      <charset val="204"/>
    </font>
    <font>
      <b/>
      <sz val="16"/>
      <color rgb="FFFF0000"/>
      <name val="Arial Cyr"/>
      <charset val="204"/>
    </font>
    <font>
      <i/>
      <sz val="14"/>
      <name val="Times New Roman"/>
      <family val="1"/>
      <charset val="204"/>
    </font>
    <font>
      <sz val="20"/>
      <name val="Times New Roman"/>
      <family val="1"/>
      <charset val="204"/>
    </font>
    <font>
      <sz val="20"/>
      <name val="Arial Cyr"/>
      <charset val="204"/>
    </font>
    <font>
      <i/>
      <sz val="14"/>
      <color indexed="8"/>
      <name val="Times New Roman"/>
      <family val="1"/>
      <charset val="204"/>
    </font>
    <font>
      <sz val="14"/>
      <color rgb="FFFF0000"/>
      <name val="Arial Cyr"/>
      <charset val="204"/>
    </font>
    <font>
      <b/>
      <sz val="14"/>
      <color theme="0"/>
      <name val="Times New Roman"/>
      <family val="1"/>
      <charset val="204"/>
    </font>
    <font>
      <b/>
      <sz val="20"/>
      <name val="Arial Cyr"/>
      <charset val="204"/>
    </font>
    <font>
      <b/>
      <sz val="10"/>
      <name val="Arial Cyr"/>
      <charset val="204"/>
    </font>
    <font>
      <b/>
      <i/>
      <sz val="14"/>
      <color indexed="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rgb="FFFF0000"/>
      <name val="Arial Cyr"/>
      <charset val="204"/>
    </font>
    <font>
      <b/>
      <sz val="14"/>
      <color rgb="FFFF0000"/>
      <name val="Times New Roman"/>
      <family val="1"/>
      <charset val="204"/>
    </font>
    <font>
      <i/>
      <sz val="14"/>
      <color rgb="FFFF0000"/>
      <name val="Times New Roman"/>
      <family val="1"/>
      <charset val="204"/>
    </font>
    <font>
      <b/>
      <i/>
      <sz val="14"/>
      <color rgb="FFFF0000"/>
      <name val="Times New Roman"/>
      <family val="1"/>
      <charset val="204"/>
    </font>
    <font>
      <sz val="20"/>
      <color rgb="FFFF0000"/>
      <name val="Times New Roman"/>
      <family val="1"/>
      <charset val="204"/>
    </font>
    <font>
      <sz val="20"/>
      <color rgb="FFFF0000"/>
      <name val="Arial Cyr"/>
      <charset val="204"/>
    </font>
    <font>
      <sz val="18"/>
      <color rgb="FFFF0000"/>
      <name val="Arial Cyr"/>
      <charset val="204"/>
    </font>
    <font>
      <sz val="22"/>
      <color rgb="FFFF0000"/>
      <name val="Times New Roman"/>
      <family val="1"/>
      <charset val="204"/>
    </font>
    <font>
      <b/>
      <sz val="10"/>
      <color rgb="FFFF0000"/>
      <name val="Arial Cyr"/>
      <charset val="204"/>
    </font>
    <font>
      <sz val="12"/>
      <color rgb="FFFF0000"/>
      <name val="Arial Cyr"/>
      <charset val="204"/>
    </font>
    <font>
      <b/>
      <sz val="12"/>
      <color rgb="FFFF0000"/>
      <name val="Arial Cyr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1" fillId="0" borderId="0"/>
    <xf numFmtId="0" fontId="12" fillId="0" borderId="0"/>
    <xf numFmtId="0" fontId="10" fillId="0" borderId="0"/>
    <xf numFmtId="165" fontId="8" fillId="0" borderId="0"/>
    <xf numFmtId="0" fontId="6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188">
    <xf numFmtId="0" fontId="0" fillId="0" borderId="0" xfId="0"/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Continuous" vertical="center" wrapText="1"/>
    </xf>
    <xf numFmtId="0" fontId="0" fillId="0" borderId="0" xfId="0" applyFill="1"/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left" vertical="center" wrapText="1" shrinkToFit="1"/>
    </xf>
    <xf numFmtId="0" fontId="4" fillId="0" borderId="1" xfId="0" applyFont="1" applyFill="1" applyBorder="1" applyAlignment="1">
      <alignment horizontal="left" vertical="center" wrapText="1" shrinkToFi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 applyProtection="1">
      <alignment horizontal="center" vertical="center" wrapText="1" shrinkToFit="1"/>
    </xf>
    <xf numFmtId="0" fontId="4" fillId="0" borderId="1" xfId="0" applyFont="1" applyFill="1" applyBorder="1" applyAlignment="1">
      <alignment horizontal="center" vertical="center" wrapText="1" shrinkToFi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/>
    <xf numFmtId="164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4" fillId="0" borderId="1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 applyProtection="1">
      <alignment horizontal="center" vertical="center" wrapText="1" shrinkToFit="1"/>
    </xf>
    <xf numFmtId="164" fontId="9" fillId="0" borderId="1" xfId="6" applyNumberFormat="1" applyFont="1" applyFill="1" applyBorder="1" applyAlignment="1" applyProtection="1">
      <alignment horizontal="center" vertical="center" wrapText="1" shrinkToFit="1"/>
    </xf>
    <xf numFmtId="2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166" fontId="9" fillId="0" borderId="0" xfId="0" applyNumberFormat="1" applyFont="1" applyFill="1" applyBorder="1" applyAlignment="1" applyProtection="1">
      <alignment horizontal="center" vertical="center" wrapText="1"/>
    </xf>
    <xf numFmtId="3" fontId="9" fillId="0" borderId="0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8" fillId="0" borderId="1" xfId="0" applyFont="1" applyFill="1" applyBorder="1" applyAlignment="1" applyProtection="1">
      <alignment horizontal="left" vertical="center" wrapText="1" shrinkToFit="1"/>
    </xf>
    <xf numFmtId="0" fontId="15" fillId="0" borderId="1" xfId="0" applyFont="1" applyFill="1" applyBorder="1" applyAlignment="1" applyProtection="1">
      <alignment horizontal="left" vertical="center" wrapText="1" shrinkToFit="1"/>
    </xf>
    <xf numFmtId="168" fontId="15" fillId="2" borderId="1" xfId="0" applyNumberFormat="1" applyFont="1" applyFill="1" applyBorder="1" applyAlignment="1" applyProtection="1">
      <alignment horizontal="center" vertical="center" wrapText="1" shrinkToFit="1"/>
    </xf>
    <xf numFmtId="168" fontId="18" fillId="2" borderId="1" xfId="0" applyNumberFormat="1" applyFont="1" applyFill="1" applyBorder="1" applyAlignment="1" applyProtection="1">
      <alignment horizontal="center" vertical="center" wrapText="1"/>
      <protection locked="0"/>
    </xf>
    <xf numFmtId="164" fontId="9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/>
    <xf numFmtId="168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>
      <alignment wrapText="1"/>
    </xf>
    <xf numFmtId="0" fontId="0" fillId="3" borderId="1" xfId="0" applyFill="1" applyBorder="1" applyAlignment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164" fontId="9" fillId="3" borderId="1" xfId="6" applyNumberFormat="1" applyFont="1" applyFill="1" applyBorder="1" applyAlignment="1" applyProtection="1">
      <alignment horizontal="center" vertical="center" wrapText="1" shrinkToFit="1"/>
    </xf>
    <xf numFmtId="164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 applyProtection="1">
      <alignment horizontal="center" vertical="center" wrapText="1"/>
    </xf>
    <xf numFmtId="0" fontId="9" fillId="0" borderId="1" xfId="6" applyNumberFormat="1" applyFont="1" applyFill="1" applyBorder="1" applyAlignment="1" applyProtection="1">
      <alignment horizontal="center" vertical="center" wrapText="1" shrinkToFit="1"/>
    </xf>
    <xf numFmtId="0" fontId="20" fillId="3" borderId="1" xfId="0" applyFont="1" applyFill="1" applyBorder="1" applyAlignment="1">
      <alignment wrapText="1"/>
    </xf>
    <xf numFmtId="0" fontId="20" fillId="3" borderId="1" xfId="0" applyFont="1" applyFill="1" applyBorder="1" applyAlignment="1" applyProtection="1">
      <alignment horizontal="center" vertical="center" wrapText="1" shrinkToFit="1"/>
    </xf>
    <xf numFmtId="0" fontId="20" fillId="3" borderId="1" xfId="0" applyFont="1" applyFill="1" applyBorder="1" applyAlignment="1">
      <alignment horizontal="center" vertical="center" wrapText="1"/>
    </xf>
    <xf numFmtId="0" fontId="4" fillId="0" borderId="1" xfId="6" applyNumberFormat="1" applyFont="1" applyFill="1" applyBorder="1" applyAlignment="1" applyProtection="1">
      <alignment horizontal="center" vertical="center" wrapText="1" shrinkToFit="1"/>
    </xf>
    <xf numFmtId="0" fontId="9" fillId="0" borderId="1" xfId="0" applyFont="1" applyFill="1" applyBorder="1" applyAlignment="1" applyProtection="1">
      <alignment horizontal="center" vertical="center" wrapText="1" shrinkToFit="1"/>
    </xf>
    <xf numFmtId="0" fontId="18" fillId="0" borderId="1" xfId="0" applyFont="1" applyFill="1" applyBorder="1" applyAlignment="1" applyProtection="1">
      <alignment horizontal="center" vertical="center" wrapText="1"/>
      <protection locked="0"/>
    </xf>
    <xf numFmtId="1" fontId="18" fillId="2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Alignment="1">
      <alignment horizontal="center"/>
    </xf>
    <xf numFmtId="0" fontId="16" fillId="0" borderId="0" xfId="0" applyFont="1" applyFill="1"/>
    <xf numFmtId="0" fontId="17" fillId="0" borderId="0" xfId="0" applyFont="1" applyFill="1"/>
    <xf numFmtId="0" fontId="3" fillId="0" borderId="1" xfId="0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 applyProtection="1">
      <alignment horizontal="center" vertical="center" wrapText="1"/>
    </xf>
    <xf numFmtId="166" fontId="9" fillId="0" borderId="1" xfId="0" applyNumberFormat="1" applyFont="1" applyFill="1" applyBorder="1" applyAlignment="1" applyProtection="1">
      <alignment horizontal="center" vertical="center" wrapText="1"/>
    </xf>
    <xf numFmtId="167" fontId="9" fillId="0" borderId="1" xfId="6" applyNumberFormat="1" applyFont="1" applyFill="1" applyBorder="1" applyAlignment="1" applyProtection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/>
    </xf>
    <xf numFmtId="164" fontId="16" fillId="0" borderId="0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 applyProtection="1">
      <alignment horizontal="center" vertical="center" wrapText="1"/>
    </xf>
    <xf numFmtId="1" fontId="18" fillId="2" borderId="1" xfId="0" applyNumberFormat="1" applyFont="1" applyFill="1" applyBorder="1" applyAlignment="1" applyProtection="1">
      <alignment horizontal="center" vertical="center" wrapText="1" shrinkToFit="1"/>
    </xf>
    <xf numFmtId="0" fontId="22" fillId="0" borderId="0" xfId="0" applyFont="1" applyFill="1"/>
    <xf numFmtId="1" fontId="23" fillId="2" borderId="1" xfId="0" applyNumberFormat="1" applyFont="1" applyFill="1" applyBorder="1" applyAlignment="1" applyProtection="1">
      <alignment horizontal="center" vertical="center" wrapText="1"/>
      <protection locked="0"/>
    </xf>
    <xf numFmtId="168" fontId="23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1" xfId="0" applyFont="1" applyFill="1" applyBorder="1" applyAlignment="1" applyProtection="1">
      <alignment horizontal="center" vertical="center" wrapText="1"/>
      <protection locked="0"/>
    </xf>
    <xf numFmtId="168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3" fillId="3" borderId="1" xfId="0" applyNumberFormat="1" applyFont="1" applyFill="1" applyBorder="1" applyAlignment="1">
      <alignment horizontal="center" vertical="center"/>
    </xf>
    <xf numFmtId="0" fontId="21" fillId="0" borderId="0" xfId="0" applyFont="1" applyFill="1"/>
    <xf numFmtId="164" fontId="24" fillId="0" borderId="0" xfId="0" applyNumberFormat="1" applyFont="1" applyFill="1"/>
    <xf numFmtId="164" fontId="26" fillId="0" borderId="0" xfId="0" applyNumberFormat="1" applyFont="1" applyFill="1"/>
    <xf numFmtId="0" fontId="25" fillId="0" borderId="0" xfId="0" applyFont="1" applyFill="1"/>
    <xf numFmtId="164" fontId="4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 shrinkToFit="1"/>
    </xf>
    <xf numFmtId="0" fontId="3" fillId="0" borderId="1" xfId="0" applyFont="1" applyFill="1" applyBorder="1" applyAlignment="1">
      <alignment horizontal="center" vertical="center" wrapText="1" shrinkToFit="1"/>
    </xf>
    <xf numFmtId="164" fontId="4" fillId="0" borderId="1" xfId="6" applyNumberFormat="1" applyFont="1" applyFill="1" applyBorder="1" applyAlignment="1" applyProtection="1">
      <alignment horizontal="center" vertical="center" wrapText="1" shrinkToFit="1"/>
    </xf>
    <xf numFmtId="0" fontId="4" fillId="0" borderId="1" xfId="0" applyFont="1" applyBorder="1" applyAlignment="1">
      <alignment horizontal="center" vertical="center" shrinkToFit="1"/>
    </xf>
    <xf numFmtId="0" fontId="24" fillId="3" borderId="1" xfId="0" applyFont="1" applyFill="1" applyBorder="1" applyAlignment="1" applyProtection="1">
      <alignment horizontal="center" vertical="center" wrapText="1"/>
    </xf>
    <xf numFmtId="164" fontId="24" fillId="3" borderId="1" xfId="6" applyNumberFormat="1" applyFont="1" applyFill="1" applyBorder="1" applyAlignment="1" applyProtection="1">
      <alignment horizontal="center" vertical="center" wrapText="1" shrinkToFit="1"/>
    </xf>
    <xf numFmtId="164" fontId="24" fillId="3" borderId="1" xfId="0" applyNumberFormat="1" applyFont="1" applyFill="1" applyBorder="1" applyAlignment="1">
      <alignment horizontal="center" vertical="center"/>
    </xf>
    <xf numFmtId="164" fontId="26" fillId="3" borderId="1" xfId="0" applyNumberFormat="1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/>
    </xf>
    <xf numFmtId="0" fontId="24" fillId="3" borderId="1" xfId="0" applyFont="1" applyFill="1" applyBorder="1"/>
    <xf numFmtId="164" fontId="27" fillId="3" borderId="1" xfId="0" applyNumberFormat="1" applyFont="1" applyFill="1" applyBorder="1" applyAlignment="1">
      <alignment horizontal="center" vertical="center"/>
    </xf>
    <xf numFmtId="164" fontId="28" fillId="3" borderId="1" xfId="0" applyNumberFormat="1" applyFont="1" applyFill="1" applyBorder="1" applyAlignment="1">
      <alignment horizontal="center" vertical="center"/>
    </xf>
    <xf numFmtId="164" fontId="29" fillId="0" borderId="0" xfId="0" applyNumberFormat="1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center" vertical="center"/>
    </xf>
    <xf numFmtId="164" fontId="30" fillId="0" borderId="0" xfId="0" applyNumberFormat="1" applyFont="1" applyFill="1"/>
    <xf numFmtId="0" fontId="31" fillId="0" borderId="0" xfId="0" applyFont="1" applyFill="1"/>
    <xf numFmtId="0" fontId="32" fillId="0" borderId="0" xfId="0" applyFont="1" applyFill="1" applyBorder="1" applyAlignment="1">
      <alignment horizontal="center" vertical="center"/>
    </xf>
    <xf numFmtId="164" fontId="24" fillId="0" borderId="1" xfId="0" applyNumberFormat="1" applyFont="1" applyFill="1" applyBorder="1" applyAlignment="1">
      <alignment horizontal="center" vertical="center"/>
    </xf>
    <xf numFmtId="164" fontId="26" fillId="0" borderId="1" xfId="0" applyNumberFormat="1" applyFont="1" applyFill="1" applyBorder="1" applyAlignment="1">
      <alignment horizontal="center" vertical="center"/>
    </xf>
    <xf numFmtId="0" fontId="24" fillId="0" borderId="0" xfId="0" applyFont="1" applyFill="1"/>
    <xf numFmtId="0" fontId="26" fillId="0" borderId="0" xfId="0" applyFont="1" applyFill="1"/>
    <xf numFmtId="0" fontId="33" fillId="0" borderId="0" xfId="0" applyFont="1" applyFill="1"/>
    <xf numFmtId="164" fontId="34" fillId="0" borderId="0" xfId="0" applyNumberFormat="1" applyFont="1" applyFill="1"/>
    <xf numFmtId="164" fontId="35" fillId="0" borderId="0" xfId="0" applyNumberFormat="1" applyFont="1" applyFill="1"/>
    <xf numFmtId="1" fontId="34" fillId="0" borderId="0" xfId="0" applyNumberFormat="1" applyFont="1" applyFill="1"/>
    <xf numFmtId="1" fontId="35" fillId="0" borderId="0" xfId="0" applyNumberFormat="1" applyFont="1" applyFill="1"/>
    <xf numFmtId="164" fontId="13" fillId="0" borderId="0" xfId="0" applyNumberFormat="1" applyFont="1" applyFill="1"/>
    <xf numFmtId="164" fontId="33" fillId="0" borderId="0" xfId="0" applyNumberFormat="1" applyFont="1" applyFill="1"/>
    <xf numFmtId="0" fontId="36" fillId="0" borderId="1" xfId="0" applyFont="1" applyFill="1" applyBorder="1" applyAlignment="1">
      <alignment horizontal="center" vertical="center"/>
    </xf>
    <xf numFmtId="0" fontId="37" fillId="0" borderId="1" xfId="0" applyFont="1" applyFill="1" applyBorder="1" applyAlignment="1">
      <alignment horizontal="left" vertical="center" wrapText="1" shrinkToFit="1"/>
    </xf>
    <xf numFmtId="0" fontId="37" fillId="0" borderId="1" xfId="0" applyFont="1" applyFill="1" applyBorder="1" applyAlignment="1">
      <alignment horizontal="center" vertical="center" wrapText="1"/>
    </xf>
    <xf numFmtId="0" fontId="37" fillId="0" borderId="1" xfId="0" applyFont="1" applyFill="1" applyBorder="1" applyAlignment="1" applyProtection="1">
      <alignment horizontal="center" vertical="center" wrapText="1"/>
    </xf>
    <xf numFmtId="164" fontId="37" fillId="0" borderId="1" xfId="0" applyNumberFormat="1" applyFont="1" applyBorder="1" applyAlignment="1">
      <alignment horizontal="center" vertical="center"/>
    </xf>
    <xf numFmtId="164" fontId="37" fillId="0" borderId="1" xfId="6" applyNumberFormat="1" applyFont="1" applyFill="1" applyBorder="1" applyAlignment="1" applyProtection="1">
      <alignment horizontal="center" vertical="center" wrapText="1" shrinkToFit="1"/>
    </xf>
    <xf numFmtId="0" fontId="37" fillId="0" borderId="1" xfId="6" applyNumberFormat="1" applyFont="1" applyFill="1" applyBorder="1" applyAlignment="1" applyProtection="1">
      <alignment horizontal="center" vertical="center" wrapText="1" shrinkToFit="1"/>
    </xf>
    <xf numFmtId="2" fontId="37" fillId="0" borderId="1" xfId="6" applyNumberFormat="1" applyFont="1" applyFill="1" applyBorder="1" applyAlignment="1" applyProtection="1">
      <alignment horizontal="center" vertical="center" wrapText="1" shrinkToFit="1"/>
    </xf>
    <xf numFmtId="0" fontId="37" fillId="0" borderId="1" xfId="0" applyFont="1" applyFill="1" applyBorder="1" applyAlignment="1" applyProtection="1">
      <alignment horizontal="left" vertical="center" wrapText="1" shrinkToFit="1"/>
    </xf>
    <xf numFmtId="0" fontId="38" fillId="0" borderId="1" xfId="0" applyFont="1" applyFill="1" applyBorder="1" applyAlignment="1" applyProtection="1">
      <alignment horizontal="left" vertical="center" wrapText="1" shrinkToFit="1"/>
    </xf>
    <xf numFmtId="0" fontId="37" fillId="0" borderId="1" xfId="0" applyFont="1" applyFill="1" applyBorder="1" applyAlignment="1" applyProtection="1">
      <alignment horizontal="right" vertical="center" wrapText="1" shrinkToFit="1"/>
    </xf>
    <xf numFmtId="0" fontId="36" fillId="0" borderId="1" xfId="0" applyFont="1" applyFill="1" applyBorder="1" applyAlignment="1" applyProtection="1">
      <alignment horizontal="left" vertical="center" wrapText="1" shrinkToFit="1"/>
    </xf>
    <xf numFmtId="164" fontId="37" fillId="3" borderId="1" xfId="0" applyNumberFormat="1" applyFont="1" applyFill="1" applyBorder="1" applyAlignment="1">
      <alignment horizontal="center" vertical="center"/>
    </xf>
    <xf numFmtId="164" fontId="36" fillId="3" borderId="1" xfId="0" applyNumberFormat="1" applyFont="1" applyFill="1" applyBorder="1" applyAlignment="1">
      <alignment horizontal="center" vertical="center"/>
    </xf>
    <xf numFmtId="164" fontId="39" fillId="3" borderId="1" xfId="0" applyNumberFormat="1" applyFont="1" applyFill="1" applyBorder="1" applyAlignment="1">
      <alignment horizontal="center" vertical="center"/>
    </xf>
    <xf numFmtId="164" fontId="38" fillId="3" borderId="1" xfId="0" applyNumberFormat="1" applyFont="1" applyFill="1" applyBorder="1" applyAlignment="1">
      <alignment horizontal="center" vertical="center"/>
    </xf>
    <xf numFmtId="164" fontId="24" fillId="0" borderId="0" xfId="6" applyNumberFormat="1" applyFont="1" applyFill="1" applyBorder="1" applyAlignment="1" applyProtection="1">
      <alignment horizontal="center" vertical="center" wrapText="1" shrinkToFit="1"/>
    </xf>
    <xf numFmtId="164" fontId="24" fillId="0" borderId="0" xfId="0" applyNumberFormat="1" applyFont="1" applyFill="1" applyBorder="1" applyAlignment="1">
      <alignment horizontal="center" vertical="center"/>
    </xf>
    <xf numFmtId="164" fontId="37" fillId="0" borderId="0" xfId="6" applyNumberFormat="1" applyFont="1" applyFill="1" applyBorder="1" applyAlignment="1" applyProtection="1">
      <alignment horizontal="center" vertical="center" wrapText="1" shrinkToFit="1"/>
    </xf>
    <xf numFmtId="0" fontId="3" fillId="0" borderId="2" xfId="0" applyFont="1" applyFill="1" applyBorder="1" applyAlignment="1">
      <alignment horizontal="center" vertical="center" wrapText="1"/>
    </xf>
    <xf numFmtId="0" fontId="0" fillId="0" borderId="2" xfId="0" applyBorder="1" applyAlignment="1"/>
    <xf numFmtId="0" fontId="0" fillId="0" borderId="3" xfId="0" applyBorder="1" applyAlignment="1"/>
    <xf numFmtId="0" fontId="3" fillId="0" borderId="1" xfId="0" applyFont="1" applyFill="1" applyBorder="1" applyAlignment="1">
      <alignment horizontal="center" vertical="center" wrapText="1"/>
    </xf>
    <xf numFmtId="164" fontId="37" fillId="2" borderId="1" xfId="0" applyNumberFormat="1" applyFont="1" applyFill="1" applyBorder="1" applyAlignment="1">
      <alignment horizontal="center" vertical="center"/>
    </xf>
    <xf numFmtId="164" fontId="37" fillId="2" borderId="1" xfId="6" applyNumberFormat="1" applyFont="1" applyFill="1" applyBorder="1" applyAlignment="1" applyProtection="1">
      <alignment horizontal="center" vertical="center" wrapText="1" shrinkToFit="1"/>
    </xf>
    <xf numFmtId="164" fontId="9" fillId="2" borderId="1" xfId="6" applyNumberFormat="1" applyFont="1" applyFill="1" applyBorder="1" applyAlignment="1" applyProtection="1">
      <alignment horizontal="center" vertical="center" wrapText="1" shrinkToFit="1"/>
    </xf>
    <xf numFmtId="0" fontId="9" fillId="2" borderId="1" xfId="6" applyNumberFormat="1" applyFont="1" applyFill="1" applyBorder="1" applyAlignment="1" applyProtection="1">
      <alignment horizontal="center" vertical="center" wrapText="1" shrinkToFit="1"/>
    </xf>
    <xf numFmtId="0" fontId="4" fillId="2" borderId="1" xfId="0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 applyProtection="1">
      <alignment horizontal="center" vertical="center" wrapText="1"/>
      <protection locked="0"/>
    </xf>
    <xf numFmtId="2" fontId="9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4" fillId="2" borderId="1" xfId="0" applyNumberFormat="1" applyFont="1" applyFill="1" applyBorder="1" applyAlignment="1">
      <alignment horizontal="center" vertical="center"/>
    </xf>
    <xf numFmtId="0" fontId="37" fillId="2" borderId="1" xfId="6" applyNumberFormat="1" applyFont="1" applyFill="1" applyBorder="1" applyAlignment="1" applyProtection="1">
      <alignment horizontal="center" vertical="center" wrapText="1" shrinkToFit="1"/>
    </xf>
    <xf numFmtId="0" fontId="9" fillId="2" borderId="1" xfId="0" applyFont="1" applyFill="1" applyBorder="1" applyAlignment="1" applyProtection="1">
      <alignment horizontal="center" vertical="center" wrapText="1" shrinkToFit="1"/>
    </xf>
    <xf numFmtId="2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164" fontId="9" fillId="4" borderId="1" xfId="0" applyNumberFormat="1" applyFont="1" applyFill="1" applyBorder="1" applyAlignment="1" applyProtection="1">
      <alignment horizontal="center" vertical="center" wrapText="1" shrinkToFit="1"/>
    </xf>
    <xf numFmtId="164" fontId="9" fillId="2" borderId="1" xfId="0" applyNumberFormat="1" applyFont="1" applyFill="1" applyBorder="1" applyAlignment="1" applyProtection="1">
      <alignment horizontal="center" vertical="center" wrapText="1" shrinkToFit="1"/>
    </xf>
    <xf numFmtId="168" fontId="9" fillId="2" borderId="1" xfId="0" applyNumberFormat="1" applyFont="1" applyFill="1" applyBorder="1" applyAlignment="1" applyProtection="1">
      <alignment horizontal="center" vertical="center" wrapText="1"/>
      <protection locked="0"/>
    </xf>
    <xf numFmtId="1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1" xfId="6" applyNumberFormat="1" applyFont="1" applyFill="1" applyBorder="1" applyAlignment="1" applyProtection="1">
      <alignment horizontal="center" vertical="center" wrapText="1" shrinkToFit="1"/>
    </xf>
    <xf numFmtId="0" fontId="37" fillId="2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1" fontId="9" fillId="2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2" borderId="1" xfId="0" applyNumberFormat="1" applyFont="1" applyFill="1" applyBorder="1" applyAlignment="1" applyProtection="1">
      <alignment horizontal="center" vertical="center" wrapText="1" shrinkToFit="1"/>
    </xf>
    <xf numFmtId="164" fontId="36" fillId="2" borderId="1" xfId="6" applyNumberFormat="1" applyFont="1" applyFill="1" applyBorder="1" applyAlignment="1" applyProtection="1">
      <alignment horizontal="center" vertical="center" wrapText="1" shrinkToFit="1"/>
    </xf>
    <xf numFmtId="164" fontId="37" fillId="2" borderId="1" xfId="6" applyNumberFormat="1" applyFont="1" applyFill="1" applyBorder="1" applyAlignment="1">
      <alignment horizontal="center" vertical="center"/>
    </xf>
    <xf numFmtId="2" fontId="36" fillId="2" borderId="1" xfId="6" applyNumberFormat="1" applyFont="1" applyFill="1" applyBorder="1" applyAlignment="1" applyProtection="1">
      <alignment horizontal="center" vertical="center" wrapText="1" shrinkToFit="1"/>
    </xf>
    <xf numFmtId="164" fontId="3" fillId="2" borderId="1" xfId="6" applyNumberFormat="1" applyFont="1" applyFill="1" applyBorder="1" applyAlignment="1" applyProtection="1">
      <alignment horizontal="center" vertical="center" wrapText="1" shrinkToFit="1"/>
    </xf>
    <xf numFmtId="164" fontId="36" fillId="2" borderId="6" xfId="6" applyNumberFormat="1" applyFont="1" applyFill="1" applyBorder="1" applyAlignment="1" applyProtection="1">
      <alignment horizontal="center" vertical="center" wrapText="1" shrinkToFit="1"/>
    </xf>
    <xf numFmtId="0" fontId="36" fillId="2" borderId="1" xfId="0" applyFont="1" applyFill="1" applyBorder="1" applyAlignment="1">
      <alignment horizontal="center" vertical="center"/>
    </xf>
    <xf numFmtId="0" fontId="37" fillId="2" borderId="1" xfId="0" applyFont="1" applyFill="1" applyBorder="1" applyAlignment="1">
      <alignment horizontal="center" vertical="center"/>
    </xf>
    <xf numFmtId="164" fontId="36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2" fontId="9" fillId="2" borderId="1" xfId="6" applyNumberFormat="1" applyFont="1" applyFill="1" applyBorder="1" applyAlignment="1" applyProtection="1">
      <alignment horizontal="center" vertical="center" wrapText="1" shrinkToFit="1"/>
    </xf>
    <xf numFmtId="164" fontId="2" fillId="2" borderId="1" xfId="6" applyNumberFormat="1" applyFont="1" applyFill="1" applyBorder="1" applyAlignment="1" applyProtection="1">
      <alignment horizontal="center" vertical="center" wrapText="1" shrinkToFit="1"/>
    </xf>
    <xf numFmtId="2" fontId="3" fillId="2" borderId="1" xfId="0" applyNumberFormat="1" applyFont="1" applyFill="1" applyBorder="1" applyAlignment="1">
      <alignment horizontal="center" vertical="center"/>
    </xf>
    <xf numFmtId="168" fontId="4" fillId="2" borderId="1" xfId="0" applyNumberFormat="1" applyFont="1" applyFill="1" applyBorder="1" applyAlignment="1">
      <alignment horizontal="center" vertical="center"/>
    </xf>
    <xf numFmtId="168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1" fontId="3" fillId="2" borderId="1" xfId="0" applyNumberFormat="1" applyFont="1" applyFill="1" applyBorder="1" applyAlignment="1">
      <alignment horizontal="center" vertical="center"/>
    </xf>
    <xf numFmtId="1" fontId="9" fillId="2" borderId="1" xfId="6" applyNumberFormat="1" applyFont="1" applyFill="1" applyBorder="1" applyAlignment="1" applyProtection="1">
      <alignment horizontal="center" vertical="center" wrapText="1" shrinkToFit="1"/>
    </xf>
    <xf numFmtId="0" fontId="3" fillId="2" borderId="1" xfId="0" applyFont="1" applyFill="1" applyBorder="1" applyAlignment="1">
      <alignment horizontal="center" vertical="center"/>
    </xf>
    <xf numFmtId="0" fontId="36" fillId="2" borderId="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0" fillId="0" borderId="7" xfId="0" applyBorder="1" applyAlignment="1"/>
    <xf numFmtId="0" fontId="16" fillId="0" borderId="0" xfId="0" applyFont="1" applyFill="1" applyAlignment="1">
      <alignment vertical="top" wrapText="1" shrinkToFit="1"/>
    </xf>
    <xf numFmtId="0" fontId="17" fillId="0" borderId="0" xfId="0" applyFont="1" applyAlignment="1">
      <alignment vertical="top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4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 applyProtection="1">
      <alignment horizontal="center" vertical="center" wrapText="1"/>
    </xf>
    <xf numFmtId="0" fontId="2" fillId="0" borderId="11" xfId="0" applyFont="1" applyFill="1" applyBorder="1" applyAlignment="1" applyProtection="1">
      <alignment horizontal="center" vertical="center" wrapText="1"/>
    </xf>
    <xf numFmtId="0" fontId="37" fillId="0" borderId="4" xfId="0" applyFont="1" applyFill="1" applyBorder="1" applyAlignment="1" applyProtection="1">
      <alignment horizontal="center" vertical="center" wrapText="1" shrinkToFit="1"/>
    </xf>
    <xf numFmtId="0" fontId="37" fillId="0" borderId="5" xfId="0" applyFont="1" applyFill="1" applyBorder="1" applyAlignment="1" applyProtection="1">
      <alignment horizontal="center" vertical="center" wrapText="1" shrinkToFit="1"/>
    </xf>
    <xf numFmtId="0" fontId="37" fillId="0" borderId="6" xfId="0" applyFont="1" applyFill="1" applyBorder="1" applyAlignment="1" applyProtection="1">
      <alignment horizontal="center" vertical="center" wrapText="1" shrinkToFit="1"/>
    </xf>
    <xf numFmtId="0" fontId="16" fillId="0" borderId="0" xfId="0" applyFont="1" applyFill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0" fontId="21" fillId="0" borderId="0" xfId="0" applyFont="1" applyFill="1" applyAlignment="1">
      <alignment horizontal="center" vertical="center" wrapText="1"/>
    </xf>
    <xf numFmtId="0" fontId="17" fillId="0" borderId="0" xfId="0" applyFont="1" applyAlignment="1"/>
  </cellXfs>
  <cellStyles count="8">
    <cellStyle name="Обычный" xfId="0" builtinId="0"/>
    <cellStyle name="Обычный 2" xfId="1"/>
    <cellStyle name="Обычный 2 2" xfId="2"/>
    <cellStyle name="Обычный 3" xfId="3"/>
    <cellStyle name="Обычный 3 2" xfId="4"/>
    <cellStyle name="Обычный 5" xfId="5"/>
    <cellStyle name="Финансовый" xfId="6" builtinId="3"/>
    <cellStyle name="Финансовый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X83"/>
  <sheetViews>
    <sheetView tabSelected="1" view="pageBreakPreview" topLeftCell="B1" zoomScale="50" zoomScaleNormal="60" zoomScaleSheetLayoutView="50" workbookViewId="0">
      <pane ySplit="10" topLeftCell="A11" activePane="bottomLeft" state="frozen"/>
      <selection pane="bottomLeft" activeCell="K94" sqref="K94"/>
    </sheetView>
  </sheetViews>
  <sheetFormatPr defaultColWidth="8.85546875" defaultRowHeight="12.75" outlineLevelRow="1" x14ac:dyDescent="0.2"/>
  <cols>
    <col min="1" max="1" width="5.140625" style="3" hidden="1" customWidth="1"/>
    <col min="2" max="2" width="6.28515625" style="12" bestFit="1" customWidth="1"/>
    <col min="3" max="3" width="55" style="3" customWidth="1"/>
    <col min="4" max="4" width="23.42578125" style="3" customWidth="1"/>
    <col min="5" max="5" width="12.7109375" style="3" hidden="1" customWidth="1"/>
    <col min="6" max="8" width="17.5703125" style="3" hidden="1" customWidth="1"/>
    <col min="9" max="9" width="17.42578125" style="3" customWidth="1"/>
    <col min="10" max="10" width="17.5703125" style="3" hidden="1" customWidth="1"/>
    <col min="11" max="11" width="14.85546875" style="3" customWidth="1"/>
    <col min="12" max="12" width="15.28515625" style="3" hidden="1" customWidth="1"/>
    <col min="13" max="13" width="15.140625" style="3" customWidth="1"/>
    <col min="14" max="14" width="0.140625" style="3" hidden="1" customWidth="1"/>
    <col min="15" max="16" width="15.28515625" style="61" customWidth="1"/>
    <col min="17" max="26" width="14.7109375" style="3" customWidth="1"/>
    <col min="27" max="28" width="14.7109375" style="61" customWidth="1"/>
    <col min="29" max="30" width="14.7109375" style="3" customWidth="1"/>
    <col min="31" max="31" width="14.28515625" style="3" customWidth="1"/>
    <col min="32" max="32" width="12.85546875" style="3" customWidth="1"/>
    <col min="33" max="33" width="14" style="3" customWidth="1"/>
    <col min="34" max="34" width="14.28515625" style="3" customWidth="1"/>
    <col min="35" max="35" width="14.5703125" style="3" customWidth="1"/>
    <col min="36" max="36" width="16" style="3" customWidth="1"/>
    <col min="37" max="37" width="14.140625" style="61" customWidth="1"/>
    <col min="38" max="38" width="15.7109375" style="61" customWidth="1"/>
    <col min="39" max="39" width="12.28515625" style="3" hidden="1" customWidth="1"/>
    <col min="40" max="41" width="8.85546875" style="3" hidden="1" customWidth="1"/>
    <col min="42" max="42" width="12.28515625" style="3" hidden="1" customWidth="1"/>
    <col min="43" max="43" width="13.42578125" style="3" hidden="1" customWidth="1"/>
    <col min="44" max="44" width="12.140625" style="3" hidden="1" customWidth="1"/>
    <col min="45" max="45" width="16" style="3" hidden="1" customWidth="1"/>
    <col min="46" max="46" width="12.85546875" style="3" hidden="1" customWidth="1"/>
    <col min="47" max="47" width="12.28515625" style="3" hidden="1" customWidth="1"/>
    <col min="48" max="48" width="14.85546875" style="3" hidden="1" customWidth="1"/>
    <col min="49" max="49" width="14.28515625" style="3" hidden="1" customWidth="1"/>
    <col min="50" max="50" width="12" style="3" hidden="1" customWidth="1"/>
    <col min="51" max="51" width="13.7109375" style="3" hidden="1" customWidth="1"/>
    <col min="52" max="52" width="12.5703125" style="3" hidden="1" customWidth="1"/>
    <col min="53" max="53" width="15.7109375" style="3" hidden="1" customWidth="1"/>
    <col min="54" max="54" width="13.7109375" style="3" hidden="1" customWidth="1"/>
    <col min="55" max="55" width="14.28515625" style="3" hidden="1" customWidth="1"/>
    <col min="56" max="56" width="12.5703125" style="3" hidden="1" customWidth="1"/>
    <col min="57" max="57" width="14" style="3" hidden="1" customWidth="1"/>
    <col min="58" max="58" width="12.85546875" style="3" hidden="1" customWidth="1"/>
    <col min="59" max="59" width="14.85546875" style="3" hidden="1" customWidth="1"/>
    <col min="60" max="60" width="8.42578125" style="3" hidden="1" customWidth="1"/>
    <col min="61" max="61" width="8.140625" style="3" hidden="1" customWidth="1"/>
    <col min="62" max="63" width="8.28515625" style="3" hidden="1" customWidth="1"/>
    <col min="64" max="64" width="7.5703125" style="3" hidden="1" customWidth="1"/>
    <col min="65" max="65" width="8" style="3" hidden="1" customWidth="1"/>
    <col min="66" max="66" width="8.140625" style="3" hidden="1" customWidth="1"/>
    <col min="67" max="67" width="8.42578125" style="3" hidden="1" customWidth="1"/>
    <col min="68" max="76" width="8.85546875" style="3" hidden="1" customWidth="1"/>
    <col min="77" max="77" width="0" style="3" hidden="1" customWidth="1"/>
    <col min="78" max="16384" width="8.85546875" style="3"/>
  </cols>
  <sheetData>
    <row r="1" spans="2:61" ht="23.25" customHeight="1" x14ac:dyDescent="0.4">
      <c r="AG1" s="51" t="s">
        <v>79</v>
      </c>
      <c r="AH1" s="52"/>
      <c r="AI1" s="52"/>
      <c r="AJ1" s="52"/>
      <c r="AK1" s="67"/>
      <c r="AL1" s="67"/>
    </row>
    <row r="2" spans="2:61" ht="116.25" customHeight="1" x14ac:dyDescent="0.2">
      <c r="AG2" s="182" t="s">
        <v>86</v>
      </c>
      <c r="AH2" s="182"/>
      <c r="AI2" s="182"/>
      <c r="AJ2" s="182"/>
      <c r="AK2" s="182"/>
      <c r="AL2" s="182"/>
    </row>
    <row r="3" spans="2:61" ht="22.5" customHeight="1" x14ac:dyDescent="0.4">
      <c r="AG3" s="51"/>
      <c r="AH3" s="52"/>
      <c r="AI3" s="52"/>
      <c r="AJ3" s="52"/>
      <c r="AK3" s="67"/>
      <c r="AL3" s="67"/>
    </row>
    <row r="4" spans="2:61" ht="27" hidden="1" customHeight="1" x14ac:dyDescent="0.25">
      <c r="AC4" s="185"/>
      <c r="AD4" s="185"/>
      <c r="AG4" s="166"/>
      <c r="AH4" s="167"/>
      <c r="AI4" s="167"/>
      <c r="AJ4" s="167"/>
      <c r="AK4" s="167"/>
      <c r="AL4" s="167"/>
    </row>
    <row r="5" spans="2:61" ht="15.75" hidden="1" customHeight="1" x14ac:dyDescent="0.25">
      <c r="AC5" s="50"/>
      <c r="AD5" s="50"/>
      <c r="AG5" s="167"/>
      <c r="AH5" s="167"/>
      <c r="AI5" s="167"/>
      <c r="AJ5" s="167"/>
      <c r="AK5" s="167"/>
      <c r="AL5" s="167"/>
    </row>
    <row r="6" spans="2:61" ht="32.25" customHeight="1" x14ac:dyDescent="0.35">
      <c r="B6" s="186" t="s">
        <v>78</v>
      </c>
      <c r="C6" s="186"/>
      <c r="D6" s="186"/>
      <c r="E6" s="186"/>
      <c r="F6" s="186"/>
      <c r="G6" s="186"/>
      <c r="H6" s="186"/>
      <c r="I6" s="186"/>
      <c r="J6" s="186"/>
      <c r="K6" s="186"/>
      <c r="L6" s="186"/>
      <c r="M6" s="186"/>
      <c r="N6" s="186"/>
      <c r="O6" s="186"/>
      <c r="P6" s="186"/>
      <c r="Q6" s="186"/>
      <c r="R6" s="186"/>
      <c r="S6" s="186"/>
      <c r="T6" s="186"/>
      <c r="U6" s="186"/>
      <c r="V6" s="186"/>
      <c r="W6" s="186"/>
      <c r="X6" s="186"/>
      <c r="Y6" s="186"/>
      <c r="Z6" s="186"/>
      <c r="AA6" s="186"/>
      <c r="AB6" s="186"/>
      <c r="AC6" s="186"/>
      <c r="AD6" s="186"/>
      <c r="AE6" s="187"/>
      <c r="AF6" s="187"/>
      <c r="AG6" s="187"/>
      <c r="AH6" s="187"/>
      <c r="AI6" s="187"/>
      <c r="AJ6" s="187"/>
      <c r="AK6" s="187"/>
      <c r="AL6" s="187"/>
    </row>
    <row r="7" spans="2:61" ht="30.75" customHeight="1" x14ac:dyDescent="0.2">
      <c r="B7" s="164"/>
      <c r="C7" s="164"/>
      <c r="D7" s="164"/>
      <c r="E7" s="164"/>
      <c r="F7" s="164"/>
      <c r="G7" s="164"/>
      <c r="H7" s="164"/>
      <c r="I7" s="164"/>
      <c r="J7" s="164"/>
      <c r="K7" s="164"/>
      <c r="L7" s="164"/>
      <c r="M7" s="164"/>
      <c r="N7" s="164"/>
      <c r="O7" s="164"/>
      <c r="P7" s="164"/>
      <c r="Q7" s="164"/>
      <c r="R7" s="164"/>
      <c r="S7" s="164"/>
      <c r="T7" s="164"/>
      <c r="U7" s="164"/>
      <c r="V7" s="164"/>
      <c r="W7" s="164"/>
      <c r="X7" s="164"/>
      <c r="Y7" s="164"/>
      <c r="Z7" s="164"/>
      <c r="AA7" s="164"/>
      <c r="AB7" s="164"/>
      <c r="AC7" s="164"/>
      <c r="AD7" s="164"/>
      <c r="AE7" s="165"/>
      <c r="AF7" s="165"/>
      <c r="AG7" s="165"/>
      <c r="AH7" s="165"/>
      <c r="AI7" s="165"/>
      <c r="AJ7" s="165"/>
      <c r="AK7" s="165"/>
      <c r="AL7" s="165"/>
    </row>
    <row r="8" spans="2:61" ht="18.75" x14ac:dyDescent="0.2">
      <c r="B8" s="168"/>
      <c r="C8" s="170" t="s">
        <v>14</v>
      </c>
      <c r="D8" s="170" t="s">
        <v>15</v>
      </c>
      <c r="E8" s="59" t="s">
        <v>16</v>
      </c>
      <c r="F8" s="2" t="s">
        <v>16</v>
      </c>
      <c r="G8" s="1" t="s">
        <v>16</v>
      </c>
      <c r="H8" s="1" t="s">
        <v>16</v>
      </c>
      <c r="I8" s="122" t="s">
        <v>16</v>
      </c>
      <c r="J8" s="119"/>
      <c r="K8" s="122" t="s">
        <v>16</v>
      </c>
      <c r="L8" s="119"/>
      <c r="M8" s="122" t="s">
        <v>17</v>
      </c>
      <c r="N8" s="119"/>
      <c r="O8" s="119"/>
      <c r="P8" s="119"/>
      <c r="Q8" s="119"/>
      <c r="R8" s="119"/>
      <c r="S8" s="119"/>
      <c r="T8" s="119"/>
      <c r="U8" s="119"/>
      <c r="V8" s="119"/>
      <c r="W8" s="119"/>
      <c r="X8" s="119"/>
      <c r="Y8" s="119"/>
      <c r="Z8" s="119"/>
      <c r="AA8" s="119"/>
      <c r="AB8" s="119"/>
      <c r="AC8" s="119"/>
      <c r="AD8" s="119"/>
      <c r="AE8" s="120"/>
      <c r="AF8" s="120"/>
      <c r="AG8" s="120"/>
      <c r="AH8" s="120"/>
      <c r="AI8" s="120"/>
      <c r="AJ8" s="120"/>
      <c r="AK8" s="120"/>
      <c r="AL8" s="121"/>
    </row>
    <row r="9" spans="2:61" ht="18.75" x14ac:dyDescent="0.2">
      <c r="B9" s="169"/>
      <c r="C9" s="172"/>
      <c r="D9" s="172"/>
      <c r="E9" s="170">
        <v>2017</v>
      </c>
      <c r="F9" s="170">
        <v>2018</v>
      </c>
      <c r="G9" s="170">
        <v>2019</v>
      </c>
      <c r="H9" s="170">
        <v>2020</v>
      </c>
      <c r="I9" s="173">
        <v>2021</v>
      </c>
      <c r="J9" s="174"/>
      <c r="K9" s="173">
        <v>2022</v>
      </c>
      <c r="L9" s="174"/>
      <c r="M9" s="177">
        <v>2023</v>
      </c>
      <c r="N9" s="141"/>
      <c r="O9" s="162">
        <v>2024</v>
      </c>
      <c r="P9" s="163"/>
      <c r="Q9" s="162">
        <v>2025</v>
      </c>
      <c r="R9" s="163"/>
      <c r="S9" s="162">
        <v>2026</v>
      </c>
      <c r="T9" s="163"/>
      <c r="U9" s="162">
        <v>2027</v>
      </c>
      <c r="V9" s="163"/>
      <c r="W9" s="162">
        <v>2028</v>
      </c>
      <c r="X9" s="163"/>
      <c r="Y9" s="162">
        <v>2029</v>
      </c>
      <c r="Z9" s="163"/>
      <c r="AA9" s="162">
        <v>2030</v>
      </c>
      <c r="AB9" s="163"/>
      <c r="AC9" s="162">
        <v>2031</v>
      </c>
      <c r="AD9" s="163"/>
      <c r="AE9" s="162">
        <v>2032</v>
      </c>
      <c r="AF9" s="163"/>
      <c r="AG9" s="162">
        <v>2033</v>
      </c>
      <c r="AH9" s="163"/>
      <c r="AI9" s="162">
        <v>2034</v>
      </c>
      <c r="AJ9" s="163"/>
      <c r="AK9" s="162">
        <v>2035</v>
      </c>
      <c r="AL9" s="163"/>
    </row>
    <row r="10" spans="2:61" ht="131.25" x14ac:dyDescent="0.2">
      <c r="B10" s="169"/>
      <c r="C10" s="172"/>
      <c r="D10" s="172"/>
      <c r="E10" s="171"/>
      <c r="F10" s="171"/>
      <c r="G10" s="171"/>
      <c r="H10" s="171"/>
      <c r="I10" s="183"/>
      <c r="J10" s="184"/>
      <c r="K10" s="175"/>
      <c r="L10" s="176"/>
      <c r="M10" s="178"/>
      <c r="N10" s="1" t="s">
        <v>28</v>
      </c>
      <c r="O10" s="1" t="s">
        <v>63</v>
      </c>
      <c r="P10" s="1" t="s">
        <v>28</v>
      </c>
      <c r="Q10" s="1" t="s">
        <v>63</v>
      </c>
      <c r="R10" s="1" t="s">
        <v>28</v>
      </c>
      <c r="S10" s="1" t="s">
        <v>63</v>
      </c>
      <c r="T10" s="1" t="s">
        <v>28</v>
      </c>
      <c r="U10" s="1" t="s">
        <v>63</v>
      </c>
      <c r="V10" s="1" t="s">
        <v>28</v>
      </c>
      <c r="W10" s="1" t="s">
        <v>63</v>
      </c>
      <c r="X10" s="1" t="s">
        <v>28</v>
      </c>
      <c r="Y10" s="1" t="s">
        <v>63</v>
      </c>
      <c r="Z10" s="1" t="s">
        <v>28</v>
      </c>
      <c r="AA10" s="1" t="s">
        <v>63</v>
      </c>
      <c r="AB10" s="1" t="s">
        <v>28</v>
      </c>
      <c r="AC10" s="1" t="s">
        <v>63</v>
      </c>
      <c r="AD10" s="1" t="s">
        <v>28</v>
      </c>
      <c r="AE10" s="1" t="s">
        <v>63</v>
      </c>
      <c r="AF10" s="1" t="s">
        <v>28</v>
      </c>
      <c r="AG10" s="1" t="s">
        <v>63</v>
      </c>
      <c r="AH10" s="1" t="s">
        <v>28</v>
      </c>
      <c r="AI10" s="1" t="s">
        <v>63</v>
      </c>
      <c r="AJ10" s="1" t="s">
        <v>28</v>
      </c>
      <c r="AK10" s="1" t="s">
        <v>63</v>
      </c>
      <c r="AL10" s="1" t="s">
        <v>28</v>
      </c>
    </row>
    <row r="11" spans="2:61" ht="18.75" x14ac:dyDescent="0.3">
      <c r="B11" s="44" t="s">
        <v>57</v>
      </c>
      <c r="C11" s="42" t="s">
        <v>0</v>
      </c>
      <c r="D11" s="35"/>
      <c r="E11" s="35"/>
      <c r="F11" s="36"/>
      <c r="G11" s="36"/>
      <c r="H11" s="36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</row>
    <row r="12" spans="2:61" ht="55.5" customHeight="1" x14ac:dyDescent="0.2">
      <c r="B12" s="7">
        <v>1</v>
      </c>
      <c r="C12" s="5" t="s">
        <v>30</v>
      </c>
      <c r="D12" s="4" t="s">
        <v>18</v>
      </c>
      <c r="E12" s="4"/>
      <c r="F12" s="19">
        <v>51.186999999999998</v>
      </c>
      <c r="G12" s="15">
        <v>51.13</v>
      </c>
      <c r="H12" s="32">
        <v>51.4</v>
      </c>
      <c r="I12" s="32">
        <v>51.4</v>
      </c>
      <c r="J12" s="32">
        <f>(BI32+BJ32)/2</f>
        <v>51.485999999999997</v>
      </c>
      <c r="K12" s="32">
        <f>(K13+I13)/2</f>
        <v>51.087999999999994</v>
      </c>
      <c r="L12" s="32">
        <v>51.6</v>
      </c>
      <c r="M12" s="32">
        <f>(M13+K13)/2</f>
        <v>50.740499999999997</v>
      </c>
      <c r="N12" s="32">
        <f>(N13+K13)/2</f>
        <v>51.037499999999994</v>
      </c>
      <c r="O12" s="49">
        <f>(O13+M13)/2</f>
        <v>50.852999999999994</v>
      </c>
      <c r="P12" s="49">
        <f>(P13+M13)/2</f>
        <v>50.902999999999999</v>
      </c>
      <c r="Q12" s="32">
        <f t="shared" ref="Q12:AL12" si="0">(Q13+O13)/2</f>
        <v>51</v>
      </c>
      <c r="R12" s="32">
        <f t="shared" si="0"/>
        <v>51.05</v>
      </c>
      <c r="S12" s="32">
        <f>(S13+Q13)/2</f>
        <v>51.150000000000006</v>
      </c>
      <c r="T12" s="32">
        <f t="shared" si="0"/>
        <v>51.2</v>
      </c>
      <c r="U12" s="32">
        <f t="shared" si="0"/>
        <v>51.25</v>
      </c>
      <c r="V12" s="32">
        <f t="shared" si="0"/>
        <v>51.65</v>
      </c>
      <c r="W12" s="32">
        <f t="shared" si="0"/>
        <v>51.5</v>
      </c>
      <c r="X12" s="32">
        <f t="shared" si="0"/>
        <v>52.25</v>
      </c>
      <c r="Y12" s="32">
        <f t="shared" si="0"/>
        <v>51.85</v>
      </c>
      <c r="Z12" s="32">
        <f t="shared" si="0"/>
        <v>52.75</v>
      </c>
      <c r="AA12" s="49">
        <f t="shared" si="0"/>
        <v>52.185000000000002</v>
      </c>
      <c r="AB12" s="49">
        <f t="shared" si="0"/>
        <v>53.25</v>
      </c>
      <c r="AC12" s="32">
        <f t="shared" si="0"/>
        <v>52.685000000000002</v>
      </c>
      <c r="AD12" s="32">
        <f t="shared" si="0"/>
        <v>53.75</v>
      </c>
      <c r="AE12" s="32">
        <f t="shared" si="0"/>
        <v>53.25</v>
      </c>
      <c r="AF12" s="32">
        <f t="shared" si="0"/>
        <v>54.5</v>
      </c>
      <c r="AG12" s="32">
        <f t="shared" si="0"/>
        <v>54</v>
      </c>
      <c r="AH12" s="32">
        <f t="shared" si="0"/>
        <v>55.25</v>
      </c>
      <c r="AI12" s="32">
        <f t="shared" si="0"/>
        <v>54.75</v>
      </c>
      <c r="AJ12" s="32">
        <f t="shared" si="0"/>
        <v>55.75</v>
      </c>
      <c r="AK12" s="49">
        <f t="shared" si="0"/>
        <v>55.35</v>
      </c>
      <c r="AL12" s="49">
        <f t="shared" si="0"/>
        <v>56.4</v>
      </c>
      <c r="AM12" s="27">
        <v>2015</v>
      </c>
      <c r="AN12" s="20">
        <v>2016</v>
      </c>
      <c r="AO12" s="53">
        <v>2017</v>
      </c>
      <c r="AP12" s="20">
        <v>2018</v>
      </c>
      <c r="AQ12" s="21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</row>
    <row r="13" spans="2:61" ht="56.25" hidden="1" customHeight="1" x14ac:dyDescent="0.2">
      <c r="B13" s="7"/>
      <c r="C13" s="5" t="s">
        <v>87</v>
      </c>
      <c r="D13" s="4" t="s">
        <v>88</v>
      </c>
      <c r="E13" s="4"/>
      <c r="F13" s="19"/>
      <c r="G13" s="15"/>
      <c r="H13" s="32">
        <v>51.386000000000003</v>
      </c>
      <c r="I13" s="32">
        <v>51.500999999999998</v>
      </c>
      <c r="J13" s="32"/>
      <c r="K13" s="32">
        <v>50.674999999999997</v>
      </c>
      <c r="L13" s="32"/>
      <c r="M13" s="32">
        <v>50.805999999999997</v>
      </c>
      <c r="N13" s="32">
        <v>51.4</v>
      </c>
      <c r="O13" s="49">
        <v>50.9</v>
      </c>
      <c r="P13" s="49">
        <v>51</v>
      </c>
      <c r="Q13" s="32">
        <v>51.1</v>
      </c>
      <c r="R13" s="32">
        <v>51.1</v>
      </c>
      <c r="S13" s="32">
        <v>51.2</v>
      </c>
      <c r="T13" s="32">
        <v>51.3</v>
      </c>
      <c r="U13" s="32">
        <v>51.3</v>
      </c>
      <c r="V13" s="32">
        <v>52</v>
      </c>
      <c r="W13" s="32">
        <v>51.7</v>
      </c>
      <c r="X13" s="32">
        <v>52.5</v>
      </c>
      <c r="Y13" s="32">
        <v>52</v>
      </c>
      <c r="Z13" s="32">
        <v>53</v>
      </c>
      <c r="AA13" s="49">
        <v>52.37</v>
      </c>
      <c r="AB13" s="49">
        <v>53.5</v>
      </c>
      <c r="AC13" s="32">
        <v>53</v>
      </c>
      <c r="AD13" s="32">
        <v>54</v>
      </c>
      <c r="AE13" s="32">
        <v>53.5</v>
      </c>
      <c r="AF13" s="32">
        <v>55</v>
      </c>
      <c r="AG13" s="32">
        <v>54.5</v>
      </c>
      <c r="AH13" s="32">
        <v>55.5</v>
      </c>
      <c r="AI13" s="32">
        <v>55</v>
      </c>
      <c r="AJ13" s="32">
        <v>56</v>
      </c>
      <c r="AK13" s="49">
        <v>55.7</v>
      </c>
      <c r="AL13" s="49">
        <v>56.8</v>
      </c>
      <c r="AM13" s="27"/>
      <c r="AN13" s="20"/>
      <c r="AO13" s="53"/>
      <c r="AP13" s="20"/>
      <c r="AQ13" s="21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2"/>
      <c r="BH13" s="22"/>
      <c r="BI13" s="22"/>
    </row>
    <row r="14" spans="2:61" ht="54.75" customHeight="1" x14ac:dyDescent="0.2">
      <c r="B14" s="7">
        <f>B12+1</f>
        <v>2</v>
      </c>
      <c r="C14" s="5" t="s">
        <v>20</v>
      </c>
      <c r="D14" s="4" t="s">
        <v>21</v>
      </c>
      <c r="E14" s="4"/>
      <c r="F14" s="9">
        <v>68.599999999999994</v>
      </c>
      <c r="G14" s="46">
        <v>68.7</v>
      </c>
      <c r="H14" s="133">
        <v>68.599999999999994</v>
      </c>
      <c r="I14" s="32">
        <v>68.599999999999994</v>
      </c>
      <c r="J14" s="32">
        <v>69</v>
      </c>
      <c r="K14" s="32">
        <v>68.599999999999994</v>
      </c>
      <c r="L14" s="32">
        <v>68.8</v>
      </c>
      <c r="M14" s="32">
        <v>68.599999999999994</v>
      </c>
      <c r="N14" s="32">
        <v>68.8</v>
      </c>
      <c r="O14" s="49">
        <v>68.7</v>
      </c>
      <c r="P14" s="49">
        <v>68.8</v>
      </c>
      <c r="Q14" s="32">
        <v>68.7</v>
      </c>
      <c r="R14" s="32">
        <v>68.8</v>
      </c>
      <c r="S14" s="32">
        <v>68.7</v>
      </c>
      <c r="T14" s="32">
        <v>68.8</v>
      </c>
      <c r="U14" s="32">
        <v>68.7</v>
      </c>
      <c r="V14" s="32">
        <v>68.8</v>
      </c>
      <c r="W14" s="32">
        <v>68.8</v>
      </c>
      <c r="X14" s="32">
        <v>68.900000000000006</v>
      </c>
      <c r="Y14" s="32">
        <v>68.900000000000006</v>
      </c>
      <c r="Z14" s="32">
        <v>69</v>
      </c>
      <c r="AA14" s="49">
        <v>69</v>
      </c>
      <c r="AB14" s="49">
        <v>69.2</v>
      </c>
      <c r="AC14" s="32">
        <v>69.099999999999994</v>
      </c>
      <c r="AD14" s="32">
        <v>69.3</v>
      </c>
      <c r="AE14" s="32">
        <v>69.2</v>
      </c>
      <c r="AF14" s="32">
        <v>69.400000000000006</v>
      </c>
      <c r="AG14" s="32">
        <v>69.3</v>
      </c>
      <c r="AH14" s="32">
        <v>69.5</v>
      </c>
      <c r="AI14" s="32">
        <v>69.400000000000006</v>
      </c>
      <c r="AJ14" s="32">
        <v>69.599999999999994</v>
      </c>
      <c r="AK14" s="49">
        <v>69.5</v>
      </c>
      <c r="AL14" s="49">
        <v>70</v>
      </c>
      <c r="AM14" s="54">
        <f>AM22+AM23</f>
        <v>50.418999999999997</v>
      </c>
      <c r="AN14" s="55">
        <f>AN22+AN23</f>
        <v>51.251000000000005</v>
      </c>
      <c r="AO14" s="55">
        <f>AO22+AO23</f>
        <v>51.123000000000005</v>
      </c>
      <c r="AP14" s="56">
        <f>AP22+AP23</f>
        <v>51.150000000000006</v>
      </c>
      <c r="AQ14" s="23"/>
      <c r="AR14" s="23">
        <f>AP14*55%</f>
        <v>28.132500000000004</v>
      </c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4"/>
    </row>
    <row r="15" spans="2:61" ht="23.25" hidden="1" customHeight="1" x14ac:dyDescent="0.2">
      <c r="B15" s="7"/>
      <c r="C15" s="5"/>
      <c r="D15" s="4"/>
      <c r="E15" s="4"/>
      <c r="F15" s="9"/>
      <c r="G15" s="46"/>
      <c r="H15" s="133"/>
      <c r="I15" s="49"/>
      <c r="J15" s="49"/>
      <c r="K15" s="49"/>
      <c r="L15" s="49"/>
      <c r="M15" s="49">
        <v>190</v>
      </c>
      <c r="N15" s="49">
        <v>260</v>
      </c>
      <c r="O15" s="49">
        <v>210</v>
      </c>
      <c r="P15" s="49">
        <v>300</v>
      </c>
      <c r="Q15" s="49">
        <v>250</v>
      </c>
      <c r="R15" s="134">
        <v>340</v>
      </c>
      <c r="S15" s="49">
        <v>270</v>
      </c>
      <c r="T15" s="134">
        <v>380</v>
      </c>
      <c r="U15" s="49">
        <v>290</v>
      </c>
      <c r="V15" s="134">
        <v>420</v>
      </c>
      <c r="W15" s="49">
        <v>320</v>
      </c>
      <c r="X15" s="134">
        <v>470</v>
      </c>
      <c r="Y15" s="49">
        <v>350</v>
      </c>
      <c r="Z15" s="134">
        <v>520</v>
      </c>
      <c r="AA15" s="49">
        <v>370</v>
      </c>
      <c r="AB15" s="134">
        <v>570</v>
      </c>
      <c r="AC15" s="49">
        <v>390</v>
      </c>
      <c r="AD15" s="134">
        <v>630</v>
      </c>
      <c r="AE15" s="134">
        <v>420</v>
      </c>
      <c r="AF15" s="134">
        <v>680</v>
      </c>
      <c r="AG15" s="134">
        <v>440</v>
      </c>
      <c r="AH15" s="134">
        <v>730</v>
      </c>
      <c r="AI15" s="134">
        <v>460</v>
      </c>
      <c r="AJ15" s="134">
        <v>800</v>
      </c>
      <c r="AK15" s="134">
        <v>490</v>
      </c>
      <c r="AL15" s="134">
        <v>900</v>
      </c>
      <c r="AM15" s="54"/>
      <c r="AN15" s="55"/>
      <c r="AO15" s="55"/>
      <c r="AP15" s="56"/>
      <c r="AQ15" s="23"/>
      <c r="AR15" s="23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  <c r="BI15" s="24"/>
    </row>
    <row r="16" spans="2:61" ht="27.75" hidden="1" customHeight="1" x14ac:dyDescent="0.2">
      <c r="B16" s="7"/>
      <c r="C16" s="5"/>
      <c r="D16" s="4"/>
      <c r="E16" s="4"/>
      <c r="F16" s="9"/>
      <c r="G16" s="32">
        <f t="shared" ref="G16:AL16" si="1">G19+G27</f>
        <v>251</v>
      </c>
      <c r="H16" s="32">
        <f t="shared" si="1"/>
        <v>502</v>
      </c>
      <c r="I16" s="32">
        <f t="shared" si="1"/>
        <v>-20</v>
      </c>
      <c r="J16" s="32">
        <f t="shared" si="1"/>
        <v>200</v>
      </c>
      <c r="K16" s="32">
        <f t="shared" si="1"/>
        <v>112</v>
      </c>
      <c r="L16" s="32">
        <f t="shared" si="1"/>
        <v>462</v>
      </c>
      <c r="M16" s="32">
        <f t="shared" si="1"/>
        <v>130</v>
      </c>
      <c r="N16" s="32">
        <f t="shared" si="1"/>
        <v>561</v>
      </c>
      <c r="O16" s="49">
        <f t="shared" si="1"/>
        <v>130</v>
      </c>
      <c r="P16" s="49">
        <f t="shared" si="1"/>
        <v>130</v>
      </c>
      <c r="Q16" s="32">
        <f t="shared" si="1"/>
        <v>130</v>
      </c>
      <c r="R16" s="32">
        <f t="shared" si="1"/>
        <v>200</v>
      </c>
      <c r="S16" s="32">
        <f t="shared" si="1"/>
        <v>313</v>
      </c>
      <c r="T16" s="32">
        <f t="shared" si="1"/>
        <v>446</v>
      </c>
      <c r="U16" s="32">
        <f t="shared" si="1"/>
        <v>440</v>
      </c>
      <c r="V16" s="32">
        <f t="shared" si="1"/>
        <v>623</v>
      </c>
      <c r="W16" s="32">
        <f t="shared" si="1"/>
        <v>555</v>
      </c>
      <c r="X16" s="32">
        <f t="shared" si="1"/>
        <v>738</v>
      </c>
      <c r="Y16" s="32">
        <f t="shared" si="1"/>
        <v>640</v>
      </c>
      <c r="Z16" s="32">
        <f t="shared" si="1"/>
        <v>863</v>
      </c>
      <c r="AA16" s="49">
        <f t="shared" si="1"/>
        <v>790</v>
      </c>
      <c r="AB16" s="49">
        <f t="shared" si="1"/>
        <v>943</v>
      </c>
      <c r="AC16" s="32">
        <f t="shared" si="1"/>
        <v>848</v>
      </c>
      <c r="AD16" s="32">
        <f t="shared" si="1"/>
        <v>585</v>
      </c>
      <c r="AE16" s="32">
        <f t="shared" si="1"/>
        <v>893</v>
      </c>
      <c r="AF16" s="32">
        <f t="shared" si="1"/>
        <v>655</v>
      </c>
      <c r="AG16" s="32">
        <f t="shared" si="1"/>
        <v>933</v>
      </c>
      <c r="AH16" s="32">
        <f t="shared" si="1"/>
        <v>1135</v>
      </c>
      <c r="AI16" s="32">
        <f t="shared" si="1"/>
        <v>953</v>
      </c>
      <c r="AJ16" s="32">
        <f t="shared" si="1"/>
        <v>1245</v>
      </c>
      <c r="AK16" s="49">
        <f t="shared" si="1"/>
        <v>1010</v>
      </c>
      <c r="AL16" s="49">
        <f t="shared" si="1"/>
        <v>900</v>
      </c>
      <c r="AM16" s="54"/>
      <c r="AN16" s="55"/>
      <c r="AO16" s="55"/>
      <c r="AP16" s="56"/>
      <c r="AQ16" s="23"/>
      <c r="AR16" s="23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</row>
    <row r="17" spans="2:76" ht="34.5" hidden="1" customHeight="1" x14ac:dyDescent="0.2">
      <c r="B17" s="7"/>
      <c r="C17" s="28" t="s">
        <v>66</v>
      </c>
      <c r="D17" s="4"/>
      <c r="E17" s="4"/>
      <c r="F17" s="30"/>
      <c r="G17" s="60">
        <v>690</v>
      </c>
      <c r="H17" s="60">
        <v>674</v>
      </c>
      <c r="I17" s="48">
        <v>514</v>
      </c>
      <c r="J17" s="48">
        <v>760</v>
      </c>
      <c r="K17" s="48">
        <v>623</v>
      </c>
      <c r="L17" s="48">
        <v>693</v>
      </c>
      <c r="M17" s="48">
        <v>620</v>
      </c>
      <c r="N17" s="48">
        <v>750</v>
      </c>
      <c r="O17" s="62">
        <v>625</v>
      </c>
      <c r="P17" s="62">
        <v>700</v>
      </c>
      <c r="Q17" s="48">
        <v>650</v>
      </c>
      <c r="R17" s="48">
        <v>730</v>
      </c>
      <c r="S17" s="48">
        <v>735</v>
      </c>
      <c r="T17" s="48">
        <v>770</v>
      </c>
      <c r="U17" s="48">
        <v>750</v>
      </c>
      <c r="V17" s="48">
        <v>780</v>
      </c>
      <c r="W17" s="48">
        <v>790</v>
      </c>
      <c r="X17" s="48">
        <v>810</v>
      </c>
      <c r="Y17" s="48">
        <v>800</v>
      </c>
      <c r="Z17" s="48">
        <v>850</v>
      </c>
      <c r="AA17" s="62">
        <v>850</v>
      </c>
      <c r="AB17" s="62">
        <v>950</v>
      </c>
      <c r="AC17" s="48">
        <v>900</v>
      </c>
      <c r="AD17" s="48">
        <v>1000</v>
      </c>
      <c r="AE17" s="48">
        <v>930</v>
      </c>
      <c r="AF17" s="48">
        <v>1050</v>
      </c>
      <c r="AG17" s="48">
        <v>960</v>
      </c>
      <c r="AH17" s="48">
        <v>1100</v>
      </c>
      <c r="AI17" s="48">
        <v>970</v>
      </c>
      <c r="AJ17" s="48">
        <v>1200</v>
      </c>
      <c r="AK17" s="62">
        <v>1000</v>
      </c>
      <c r="AL17" s="62">
        <v>1300</v>
      </c>
      <c r="AM17" s="54"/>
      <c r="AN17" s="55"/>
      <c r="AO17" s="55"/>
      <c r="AP17" s="56"/>
      <c r="AQ17" s="23"/>
      <c r="AR17" s="23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</row>
    <row r="18" spans="2:76" ht="19.5" hidden="1" x14ac:dyDescent="0.2">
      <c r="B18" s="7"/>
      <c r="C18" s="29" t="s">
        <v>67</v>
      </c>
      <c r="D18" s="4"/>
      <c r="E18" s="4"/>
      <c r="F18" s="30"/>
      <c r="G18" s="60">
        <v>740</v>
      </c>
      <c r="H18" s="60">
        <v>527</v>
      </c>
      <c r="I18" s="48">
        <v>610</v>
      </c>
      <c r="J18" s="48">
        <v>620</v>
      </c>
      <c r="K18" s="48">
        <v>685</v>
      </c>
      <c r="L18" s="48">
        <v>637</v>
      </c>
      <c r="M18" s="48">
        <v>650</v>
      </c>
      <c r="N18" s="48">
        <v>650</v>
      </c>
      <c r="O18" s="62">
        <v>660</v>
      </c>
      <c r="P18" s="62">
        <v>670</v>
      </c>
      <c r="Q18" s="48">
        <v>670</v>
      </c>
      <c r="R18" s="48">
        <v>660</v>
      </c>
      <c r="S18" s="48">
        <v>680</v>
      </c>
      <c r="T18" s="48">
        <v>670</v>
      </c>
      <c r="U18" s="48">
        <v>630</v>
      </c>
      <c r="V18" s="48">
        <v>627</v>
      </c>
      <c r="W18" s="48">
        <v>625</v>
      </c>
      <c r="X18" s="48">
        <v>622</v>
      </c>
      <c r="Y18" s="48">
        <v>620</v>
      </c>
      <c r="Z18" s="48">
        <v>617</v>
      </c>
      <c r="AA18" s="62">
        <v>610</v>
      </c>
      <c r="AB18" s="62">
        <v>607</v>
      </c>
      <c r="AC18" s="48">
        <v>607</v>
      </c>
      <c r="AD18" s="48">
        <v>605</v>
      </c>
      <c r="AE18" s="48">
        <v>607</v>
      </c>
      <c r="AF18" s="48">
        <v>605</v>
      </c>
      <c r="AG18" s="48">
        <v>607</v>
      </c>
      <c r="AH18" s="48">
        <v>605</v>
      </c>
      <c r="AI18" s="48">
        <v>607</v>
      </c>
      <c r="AJ18" s="48">
        <v>605</v>
      </c>
      <c r="AK18" s="62">
        <v>590</v>
      </c>
      <c r="AL18" s="62">
        <v>580</v>
      </c>
      <c r="AM18" s="54"/>
      <c r="AN18" s="55"/>
      <c r="AO18" s="55"/>
      <c r="AP18" s="56"/>
      <c r="AQ18" s="23"/>
      <c r="AR18" s="23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4"/>
    </row>
    <row r="19" spans="2:76" ht="1.5" hidden="1" customHeight="1" x14ac:dyDescent="0.2">
      <c r="B19" s="7"/>
      <c r="C19" s="29"/>
      <c r="D19" s="4"/>
      <c r="E19" s="4"/>
      <c r="F19" s="30"/>
      <c r="G19" s="48">
        <f>G17-G18</f>
        <v>-50</v>
      </c>
      <c r="H19" s="48">
        <f t="shared" ref="H19:AK19" si="2">H17-H18</f>
        <v>147</v>
      </c>
      <c r="I19" s="48">
        <f t="shared" si="2"/>
        <v>-96</v>
      </c>
      <c r="J19" s="48">
        <f t="shared" si="2"/>
        <v>140</v>
      </c>
      <c r="K19" s="48">
        <f t="shared" si="2"/>
        <v>-62</v>
      </c>
      <c r="L19" s="48">
        <f t="shared" si="2"/>
        <v>56</v>
      </c>
      <c r="M19" s="48">
        <f t="shared" si="2"/>
        <v>-30</v>
      </c>
      <c r="N19" s="48">
        <f t="shared" si="2"/>
        <v>100</v>
      </c>
      <c r="O19" s="62">
        <f t="shared" si="2"/>
        <v>-35</v>
      </c>
      <c r="P19" s="62">
        <f t="shared" si="2"/>
        <v>30</v>
      </c>
      <c r="Q19" s="48">
        <f t="shared" si="2"/>
        <v>-20</v>
      </c>
      <c r="R19" s="48">
        <f t="shared" si="2"/>
        <v>70</v>
      </c>
      <c r="S19" s="48">
        <f t="shared" si="2"/>
        <v>55</v>
      </c>
      <c r="T19" s="48">
        <f t="shared" si="2"/>
        <v>100</v>
      </c>
      <c r="U19" s="48">
        <f t="shared" si="2"/>
        <v>120</v>
      </c>
      <c r="V19" s="48">
        <f t="shared" si="2"/>
        <v>153</v>
      </c>
      <c r="W19" s="48">
        <f t="shared" si="2"/>
        <v>165</v>
      </c>
      <c r="X19" s="48">
        <f t="shared" si="2"/>
        <v>188</v>
      </c>
      <c r="Y19" s="48">
        <f t="shared" si="2"/>
        <v>180</v>
      </c>
      <c r="Z19" s="48">
        <f t="shared" si="2"/>
        <v>233</v>
      </c>
      <c r="AA19" s="62">
        <f t="shared" si="2"/>
        <v>240</v>
      </c>
      <c r="AB19" s="62">
        <f t="shared" si="2"/>
        <v>343</v>
      </c>
      <c r="AC19" s="48">
        <f t="shared" si="2"/>
        <v>293</v>
      </c>
      <c r="AD19" s="48">
        <f t="shared" si="2"/>
        <v>395</v>
      </c>
      <c r="AE19" s="48">
        <f t="shared" si="2"/>
        <v>323</v>
      </c>
      <c r="AF19" s="48">
        <f t="shared" si="2"/>
        <v>445</v>
      </c>
      <c r="AG19" s="48">
        <f t="shared" si="2"/>
        <v>353</v>
      </c>
      <c r="AH19" s="48">
        <f t="shared" si="2"/>
        <v>495</v>
      </c>
      <c r="AI19" s="48">
        <f t="shared" si="2"/>
        <v>363</v>
      </c>
      <c r="AJ19" s="48">
        <f t="shared" si="2"/>
        <v>595</v>
      </c>
      <c r="AK19" s="62">
        <f t="shared" si="2"/>
        <v>410</v>
      </c>
      <c r="AL19" s="62">
        <v>580</v>
      </c>
      <c r="AM19" s="54"/>
      <c r="AN19" s="55"/>
      <c r="AO19" s="55"/>
      <c r="AP19" s="56"/>
      <c r="AQ19" s="23"/>
      <c r="AR19" s="23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24"/>
      <c r="BF19" s="24"/>
      <c r="BG19" s="24"/>
      <c r="BH19" s="24"/>
      <c r="BI19" s="24"/>
    </row>
    <row r="20" spans="2:76" ht="19.5" hidden="1" x14ac:dyDescent="0.2">
      <c r="B20" s="7"/>
      <c r="C20" s="29"/>
      <c r="D20" s="4"/>
      <c r="E20" s="4"/>
      <c r="F20" s="30"/>
      <c r="G20" s="31">
        <f t="shared" ref="G20:AL20" si="3">G17/1000</f>
        <v>0.69</v>
      </c>
      <c r="H20" s="31">
        <f t="shared" si="3"/>
        <v>0.67400000000000004</v>
      </c>
      <c r="I20" s="31">
        <f t="shared" si="3"/>
        <v>0.51400000000000001</v>
      </c>
      <c r="J20" s="31">
        <f t="shared" si="3"/>
        <v>0.76</v>
      </c>
      <c r="K20" s="31">
        <f t="shared" si="3"/>
        <v>0.623</v>
      </c>
      <c r="L20" s="31">
        <f t="shared" si="3"/>
        <v>0.69299999999999995</v>
      </c>
      <c r="M20" s="31">
        <f t="shared" si="3"/>
        <v>0.62</v>
      </c>
      <c r="N20" s="31">
        <f t="shared" si="3"/>
        <v>0.75</v>
      </c>
      <c r="O20" s="63">
        <f t="shared" si="3"/>
        <v>0.625</v>
      </c>
      <c r="P20" s="63">
        <f t="shared" si="3"/>
        <v>0.7</v>
      </c>
      <c r="Q20" s="31">
        <f t="shared" si="3"/>
        <v>0.65</v>
      </c>
      <c r="R20" s="31">
        <f t="shared" si="3"/>
        <v>0.73</v>
      </c>
      <c r="S20" s="31">
        <f t="shared" si="3"/>
        <v>0.73499999999999999</v>
      </c>
      <c r="T20" s="31">
        <f t="shared" si="3"/>
        <v>0.77</v>
      </c>
      <c r="U20" s="31">
        <f t="shared" si="3"/>
        <v>0.75</v>
      </c>
      <c r="V20" s="31">
        <f t="shared" si="3"/>
        <v>0.78</v>
      </c>
      <c r="W20" s="31">
        <f t="shared" si="3"/>
        <v>0.79</v>
      </c>
      <c r="X20" s="31">
        <f t="shared" si="3"/>
        <v>0.81</v>
      </c>
      <c r="Y20" s="31">
        <f t="shared" si="3"/>
        <v>0.8</v>
      </c>
      <c r="Z20" s="31">
        <f t="shared" si="3"/>
        <v>0.85</v>
      </c>
      <c r="AA20" s="63">
        <f t="shared" si="3"/>
        <v>0.85</v>
      </c>
      <c r="AB20" s="63">
        <f t="shared" si="3"/>
        <v>0.95</v>
      </c>
      <c r="AC20" s="31">
        <f t="shared" si="3"/>
        <v>0.9</v>
      </c>
      <c r="AD20" s="31">
        <f t="shared" si="3"/>
        <v>1</v>
      </c>
      <c r="AE20" s="31">
        <f t="shared" si="3"/>
        <v>0.93</v>
      </c>
      <c r="AF20" s="31">
        <f t="shared" si="3"/>
        <v>1.05</v>
      </c>
      <c r="AG20" s="31">
        <f t="shared" si="3"/>
        <v>0.96</v>
      </c>
      <c r="AH20" s="31">
        <f t="shared" si="3"/>
        <v>1.1000000000000001</v>
      </c>
      <c r="AI20" s="31">
        <f t="shared" si="3"/>
        <v>0.97</v>
      </c>
      <c r="AJ20" s="31">
        <f t="shared" si="3"/>
        <v>1.2</v>
      </c>
      <c r="AK20" s="63">
        <f t="shared" si="3"/>
        <v>1</v>
      </c>
      <c r="AL20" s="63">
        <f t="shared" si="3"/>
        <v>1.3</v>
      </c>
      <c r="AM20" s="54"/>
      <c r="AN20" s="55"/>
      <c r="AO20" s="55"/>
      <c r="AP20" s="56"/>
      <c r="AQ20" s="23"/>
      <c r="AR20" s="23"/>
      <c r="AS20" s="24"/>
      <c r="AT20" s="24"/>
      <c r="AU20" s="24"/>
      <c r="AV20" s="24"/>
      <c r="AW20" s="24"/>
      <c r="AX20" s="24"/>
      <c r="AY20" s="24"/>
      <c r="AZ20" s="24"/>
      <c r="BA20" s="24"/>
      <c r="BB20" s="24"/>
      <c r="BC20" s="24"/>
      <c r="BD20" s="24"/>
      <c r="BE20" s="24"/>
      <c r="BF20" s="24"/>
      <c r="BG20" s="24"/>
      <c r="BH20" s="24"/>
      <c r="BI20" s="24"/>
    </row>
    <row r="21" spans="2:76" ht="19.5" hidden="1" x14ac:dyDescent="0.2">
      <c r="B21" s="7"/>
      <c r="C21" s="29"/>
      <c r="D21" s="4"/>
      <c r="E21" s="4"/>
      <c r="F21" s="30"/>
      <c r="G21" s="31">
        <f t="shared" ref="G21:AL21" si="4">G18/1000</f>
        <v>0.74</v>
      </c>
      <c r="H21" s="31">
        <f t="shared" si="4"/>
        <v>0.52700000000000002</v>
      </c>
      <c r="I21" s="31">
        <f t="shared" si="4"/>
        <v>0.61</v>
      </c>
      <c r="J21" s="31">
        <f t="shared" si="4"/>
        <v>0.62</v>
      </c>
      <c r="K21" s="31">
        <f t="shared" si="4"/>
        <v>0.68500000000000005</v>
      </c>
      <c r="L21" s="31">
        <f t="shared" si="4"/>
        <v>0.63700000000000001</v>
      </c>
      <c r="M21" s="31">
        <f t="shared" si="4"/>
        <v>0.65</v>
      </c>
      <c r="N21" s="31">
        <f t="shared" si="4"/>
        <v>0.65</v>
      </c>
      <c r="O21" s="63">
        <f t="shared" si="4"/>
        <v>0.66</v>
      </c>
      <c r="P21" s="63">
        <f t="shared" si="4"/>
        <v>0.67</v>
      </c>
      <c r="Q21" s="31">
        <f t="shared" si="4"/>
        <v>0.67</v>
      </c>
      <c r="R21" s="31">
        <f t="shared" si="4"/>
        <v>0.66</v>
      </c>
      <c r="S21" s="31">
        <f t="shared" si="4"/>
        <v>0.68</v>
      </c>
      <c r="T21" s="31">
        <f t="shared" si="4"/>
        <v>0.67</v>
      </c>
      <c r="U21" s="31">
        <f t="shared" si="4"/>
        <v>0.63</v>
      </c>
      <c r="V21" s="31">
        <f t="shared" si="4"/>
        <v>0.627</v>
      </c>
      <c r="W21" s="31">
        <f t="shared" si="4"/>
        <v>0.625</v>
      </c>
      <c r="X21" s="31">
        <f t="shared" si="4"/>
        <v>0.622</v>
      </c>
      <c r="Y21" s="31">
        <f t="shared" si="4"/>
        <v>0.62</v>
      </c>
      <c r="Z21" s="31">
        <f t="shared" si="4"/>
        <v>0.61699999999999999</v>
      </c>
      <c r="AA21" s="63">
        <f t="shared" si="4"/>
        <v>0.61</v>
      </c>
      <c r="AB21" s="63">
        <f t="shared" si="4"/>
        <v>0.60699999999999998</v>
      </c>
      <c r="AC21" s="31">
        <f t="shared" si="4"/>
        <v>0.60699999999999998</v>
      </c>
      <c r="AD21" s="31">
        <f t="shared" si="4"/>
        <v>0.60499999999999998</v>
      </c>
      <c r="AE21" s="31">
        <f t="shared" si="4"/>
        <v>0.60699999999999998</v>
      </c>
      <c r="AF21" s="31">
        <f t="shared" si="4"/>
        <v>0.60499999999999998</v>
      </c>
      <c r="AG21" s="31">
        <f t="shared" si="4"/>
        <v>0.60699999999999998</v>
      </c>
      <c r="AH21" s="31">
        <f t="shared" si="4"/>
        <v>0.60499999999999998</v>
      </c>
      <c r="AI21" s="31">
        <f t="shared" si="4"/>
        <v>0.60699999999999998</v>
      </c>
      <c r="AJ21" s="31">
        <f t="shared" si="4"/>
        <v>0.60499999999999998</v>
      </c>
      <c r="AK21" s="63">
        <f t="shared" si="4"/>
        <v>0.59</v>
      </c>
      <c r="AL21" s="63">
        <f t="shared" si="4"/>
        <v>0.57999999999999996</v>
      </c>
      <c r="AM21" s="54"/>
      <c r="AN21" s="55"/>
      <c r="AO21" s="55"/>
      <c r="AP21" s="56"/>
      <c r="AQ21" s="23"/>
      <c r="AR21" s="23"/>
      <c r="AS21" s="24"/>
      <c r="AT21" s="24"/>
      <c r="AU21" s="24"/>
      <c r="AV21" s="24"/>
      <c r="AW21" s="24"/>
      <c r="AX21" s="24"/>
      <c r="AY21" s="24"/>
      <c r="AZ21" s="24"/>
      <c r="BA21" s="24"/>
      <c r="BB21" s="24"/>
      <c r="BC21" s="24"/>
      <c r="BD21" s="24"/>
      <c r="BE21" s="24"/>
      <c r="BF21" s="24"/>
      <c r="BG21" s="24"/>
      <c r="BH21" s="24"/>
      <c r="BI21" s="24"/>
    </row>
    <row r="22" spans="2:76" ht="75" x14ac:dyDescent="0.2">
      <c r="B22" s="7">
        <f>B14+1</f>
        <v>3</v>
      </c>
      <c r="C22" s="5" t="s">
        <v>22</v>
      </c>
      <c r="D22" s="4" t="s">
        <v>23</v>
      </c>
      <c r="E22" s="4"/>
      <c r="F22" s="15">
        <v>13.4</v>
      </c>
      <c r="G22" s="15">
        <f t="shared" ref="G22:H22" si="5">G20/G12*1000</f>
        <v>13.495012712693132</v>
      </c>
      <c r="H22" s="32">
        <f t="shared" si="5"/>
        <v>13.112840466926071</v>
      </c>
      <c r="I22" s="32">
        <v>13.3</v>
      </c>
      <c r="J22" s="32">
        <f t="shared" ref="J22:AL22" si="6">J20/J12*1000</f>
        <v>14.761294332439888</v>
      </c>
      <c r="K22" s="32">
        <v>12.3</v>
      </c>
      <c r="L22" s="32">
        <f t="shared" si="6"/>
        <v>13.430232558139533</v>
      </c>
      <c r="M22" s="32">
        <v>12.3</v>
      </c>
      <c r="N22" s="32">
        <f t="shared" si="6"/>
        <v>14.695077149155034</v>
      </c>
      <c r="O22" s="49">
        <f>O20/O12*1000</f>
        <v>12.290327021021378</v>
      </c>
      <c r="P22" s="49">
        <v>12.5</v>
      </c>
      <c r="Q22" s="32">
        <v>12.4</v>
      </c>
      <c r="R22" s="32">
        <v>12.7</v>
      </c>
      <c r="S22" s="32">
        <v>12.5</v>
      </c>
      <c r="T22" s="32">
        <v>13</v>
      </c>
      <c r="U22" s="32">
        <v>13</v>
      </c>
      <c r="V22" s="32">
        <v>14</v>
      </c>
      <c r="W22" s="32">
        <v>14</v>
      </c>
      <c r="X22" s="32">
        <f t="shared" si="6"/>
        <v>15.502392344497609</v>
      </c>
      <c r="Y22" s="32">
        <f t="shared" si="6"/>
        <v>15.429122468659596</v>
      </c>
      <c r="Z22" s="32">
        <f t="shared" si="6"/>
        <v>16.113744075829384</v>
      </c>
      <c r="AA22" s="49">
        <f t="shared" si="6"/>
        <v>16.288205423014276</v>
      </c>
      <c r="AB22" s="49">
        <f t="shared" si="6"/>
        <v>17.84037558685446</v>
      </c>
      <c r="AC22" s="32">
        <f t="shared" si="6"/>
        <v>17.082661098984531</v>
      </c>
      <c r="AD22" s="32">
        <f t="shared" si="6"/>
        <v>18.604651162790699</v>
      </c>
      <c r="AE22" s="32">
        <f t="shared" si="6"/>
        <v>17.464788732394364</v>
      </c>
      <c r="AF22" s="32">
        <f t="shared" si="6"/>
        <v>19.26605504587156</v>
      </c>
      <c r="AG22" s="32">
        <f t="shared" si="6"/>
        <v>17.777777777777779</v>
      </c>
      <c r="AH22" s="32">
        <f t="shared" si="6"/>
        <v>19.909502262443443</v>
      </c>
      <c r="AI22" s="32">
        <f t="shared" si="6"/>
        <v>17.716894977168952</v>
      </c>
      <c r="AJ22" s="32">
        <f t="shared" si="6"/>
        <v>21.524663677130043</v>
      </c>
      <c r="AK22" s="49">
        <f t="shared" si="6"/>
        <v>18.066847335140018</v>
      </c>
      <c r="AL22" s="49">
        <f t="shared" si="6"/>
        <v>23.049645390070925</v>
      </c>
      <c r="AM22" s="16">
        <v>16.119</v>
      </c>
      <c r="AN22" s="7">
        <v>16.251999999999999</v>
      </c>
      <c r="AO22" s="7">
        <v>16.111999999999998</v>
      </c>
      <c r="AP22" s="7">
        <f>AO22+0.004</f>
        <v>16.116</v>
      </c>
      <c r="AQ22" s="26"/>
      <c r="AR22" s="57">
        <f>AP14*21%</f>
        <v>10.7415</v>
      </c>
      <c r="AS22" s="26"/>
      <c r="AT22" s="26"/>
      <c r="AU22" s="26"/>
      <c r="AV22" s="26"/>
      <c r="AW22" s="26"/>
      <c r="AX22" s="26"/>
      <c r="AY22" s="26"/>
      <c r="AZ22" s="26"/>
      <c r="BA22" s="26"/>
      <c r="BB22" s="26"/>
      <c r="BC22" s="26"/>
      <c r="BD22" s="26"/>
      <c r="BE22" s="26"/>
      <c r="BF22" s="26"/>
      <c r="BG22" s="26"/>
      <c r="BH22" s="26"/>
      <c r="BI22" s="26"/>
    </row>
    <row r="23" spans="2:76" ht="56.25" x14ac:dyDescent="0.2">
      <c r="B23" s="7">
        <f t="shared" ref="B23" si="7">B22+1</f>
        <v>4</v>
      </c>
      <c r="C23" s="5" t="s">
        <v>24</v>
      </c>
      <c r="D23" s="4" t="s">
        <v>25</v>
      </c>
      <c r="E23" s="4"/>
      <c r="F23" s="17">
        <v>11.1</v>
      </c>
      <c r="G23" s="17">
        <f t="shared" ref="G23:AL23" si="8">G21/G12*1000</f>
        <v>14.47291218462742</v>
      </c>
      <c r="H23" s="136">
        <f t="shared" si="8"/>
        <v>10.252918287937744</v>
      </c>
      <c r="I23" s="136">
        <v>15.3</v>
      </c>
      <c r="J23" s="136">
        <f t="shared" si="8"/>
        <v>12.042108534358855</v>
      </c>
      <c r="K23" s="136">
        <v>13.5</v>
      </c>
      <c r="L23" s="136">
        <f t="shared" si="8"/>
        <v>12.344961240310077</v>
      </c>
      <c r="M23" s="136">
        <v>13.5</v>
      </c>
      <c r="N23" s="136">
        <f t="shared" si="8"/>
        <v>12.735733529267696</v>
      </c>
      <c r="O23" s="143">
        <f t="shared" si="8"/>
        <v>12.978585334198574</v>
      </c>
      <c r="P23" s="143">
        <f t="shared" si="8"/>
        <v>13.162289059583914</v>
      </c>
      <c r="Q23" s="136">
        <f t="shared" si="8"/>
        <v>13.137254901960786</v>
      </c>
      <c r="R23" s="136">
        <f t="shared" si="8"/>
        <v>12.928501469147896</v>
      </c>
      <c r="S23" s="136">
        <f t="shared" si="8"/>
        <v>13.294232649071359</v>
      </c>
      <c r="T23" s="136">
        <f t="shared" si="8"/>
        <v>13.0859375</v>
      </c>
      <c r="U23" s="136">
        <f t="shared" si="8"/>
        <v>12.292682926829269</v>
      </c>
      <c r="V23" s="136">
        <f t="shared" si="8"/>
        <v>12.139399806389159</v>
      </c>
      <c r="W23" s="136">
        <f t="shared" si="8"/>
        <v>12.135922330097086</v>
      </c>
      <c r="X23" s="136">
        <f t="shared" si="8"/>
        <v>11.904306220095693</v>
      </c>
      <c r="Y23" s="136">
        <f t="shared" si="8"/>
        <v>11.957569913211184</v>
      </c>
      <c r="Z23" s="136">
        <f t="shared" si="8"/>
        <v>11.696682464454977</v>
      </c>
      <c r="AA23" s="143">
        <f t="shared" si="8"/>
        <v>11.689182715339657</v>
      </c>
      <c r="AB23" s="143">
        <f t="shared" si="8"/>
        <v>11.399061032863848</v>
      </c>
      <c r="AC23" s="136">
        <f t="shared" si="8"/>
        <v>11.521305874537344</v>
      </c>
      <c r="AD23" s="136">
        <f t="shared" si="8"/>
        <v>11.255813953488371</v>
      </c>
      <c r="AE23" s="136">
        <f t="shared" si="8"/>
        <v>11.399061032863848</v>
      </c>
      <c r="AF23" s="136">
        <f t="shared" si="8"/>
        <v>11.100917431192659</v>
      </c>
      <c r="AG23" s="136">
        <f t="shared" si="8"/>
        <v>11.24074074074074</v>
      </c>
      <c r="AH23" s="136">
        <f t="shared" si="8"/>
        <v>10.950226244343892</v>
      </c>
      <c r="AI23" s="136">
        <f t="shared" si="8"/>
        <v>11.08675799086758</v>
      </c>
      <c r="AJ23" s="136">
        <f t="shared" si="8"/>
        <v>10.852017937219731</v>
      </c>
      <c r="AK23" s="143">
        <f t="shared" si="8"/>
        <v>10.65943992773261</v>
      </c>
      <c r="AL23" s="143">
        <f t="shared" si="8"/>
        <v>10.283687943262411</v>
      </c>
      <c r="AM23" s="16">
        <v>34.299999999999997</v>
      </c>
      <c r="AN23" s="7">
        <v>34.999000000000002</v>
      </c>
      <c r="AO23" s="7">
        <v>35.011000000000003</v>
      </c>
      <c r="AP23" s="7">
        <f>AO23+0.023</f>
        <v>35.034000000000006</v>
      </c>
      <c r="AQ23" s="26"/>
      <c r="AR23" s="26"/>
      <c r="AS23" s="26"/>
      <c r="AT23" s="26"/>
      <c r="AU23" s="26"/>
      <c r="AV23" s="26"/>
      <c r="AW23" s="26"/>
      <c r="AX23" s="26"/>
      <c r="AY23" s="26"/>
      <c r="AZ23" s="26"/>
      <c r="BA23" s="26"/>
      <c r="BB23" s="26"/>
      <c r="BC23" s="26"/>
      <c r="BD23" s="26"/>
      <c r="BE23" s="26"/>
      <c r="BF23" s="26"/>
      <c r="BG23" s="26"/>
      <c r="BH23" s="26"/>
      <c r="BI23" s="26"/>
    </row>
    <row r="24" spans="2:76" ht="22.5" customHeight="1" x14ac:dyDescent="0.2">
      <c r="B24" s="7">
        <f>B23+1</f>
        <v>5</v>
      </c>
      <c r="C24" s="5" t="s">
        <v>58</v>
      </c>
      <c r="D24" s="4" t="s">
        <v>73</v>
      </c>
      <c r="E24" s="4"/>
      <c r="F24" s="17">
        <v>-2</v>
      </c>
      <c r="G24" s="15">
        <f t="shared" ref="G24:AK24" si="9">(G25-G26)/G12</f>
        <v>5.8869548210443963</v>
      </c>
      <c r="H24" s="32">
        <f t="shared" si="9"/>
        <v>6.9066147859922182</v>
      </c>
      <c r="I24" s="32">
        <f t="shared" si="9"/>
        <v>1.4785992217898833</v>
      </c>
      <c r="J24" s="32">
        <f t="shared" si="9"/>
        <v>1.1653653420347279</v>
      </c>
      <c r="K24" s="32">
        <f t="shared" si="9"/>
        <v>3.405887879736925</v>
      </c>
      <c r="L24" s="32">
        <f t="shared" si="9"/>
        <v>7.8682170542635657</v>
      </c>
      <c r="M24" s="32">
        <f t="shared" si="9"/>
        <v>3.1532996324435119</v>
      </c>
      <c r="N24" s="32">
        <f t="shared" si="9"/>
        <v>9.0325740876806275</v>
      </c>
      <c r="O24" s="49">
        <f t="shared" si="9"/>
        <v>3.2446463335496434</v>
      </c>
      <c r="P24" s="49">
        <f t="shared" si="9"/>
        <v>1.9645207551617783</v>
      </c>
      <c r="Q24" s="32">
        <f t="shared" si="9"/>
        <v>2.9411764705882355</v>
      </c>
      <c r="R24" s="32">
        <f t="shared" si="9"/>
        <v>2.546523016650343</v>
      </c>
      <c r="S24" s="32">
        <f t="shared" si="9"/>
        <v>5.0439882697947205</v>
      </c>
      <c r="T24" s="32">
        <f t="shared" si="9"/>
        <v>6.7578125</v>
      </c>
      <c r="U24" s="32">
        <f t="shared" si="9"/>
        <v>6.2439024390243905</v>
      </c>
      <c r="V24" s="32">
        <f t="shared" si="9"/>
        <v>9.0997095837366899</v>
      </c>
      <c r="W24" s="32">
        <f t="shared" si="9"/>
        <v>7.5728155339805827</v>
      </c>
      <c r="X24" s="32">
        <f t="shared" si="9"/>
        <v>10.526315789473685</v>
      </c>
      <c r="Y24" s="32">
        <f t="shared" si="9"/>
        <v>8.8717454194792662</v>
      </c>
      <c r="Z24" s="32">
        <f t="shared" si="9"/>
        <v>11.943127962085308</v>
      </c>
      <c r="AA24" s="49">
        <f t="shared" si="9"/>
        <v>10.539427038421001</v>
      </c>
      <c r="AB24" s="49">
        <f t="shared" si="9"/>
        <v>11.267605633802816</v>
      </c>
      <c r="AC24" s="32">
        <f t="shared" si="9"/>
        <v>10.534307677707126</v>
      </c>
      <c r="AD24" s="32">
        <f t="shared" si="9"/>
        <v>11.348837209302326</v>
      </c>
      <c r="AE24" s="32">
        <f t="shared" si="9"/>
        <v>10.704225352112676</v>
      </c>
      <c r="AF24" s="32">
        <f t="shared" si="9"/>
        <v>11.559633027522937</v>
      </c>
      <c r="AG24" s="32">
        <f t="shared" si="9"/>
        <v>10.74074074074074</v>
      </c>
      <c r="AH24" s="32">
        <f t="shared" si="9"/>
        <v>11.583710407239819</v>
      </c>
      <c r="AI24" s="32">
        <f t="shared" si="9"/>
        <v>10.776255707762557</v>
      </c>
      <c r="AJ24" s="32">
        <f t="shared" si="9"/>
        <v>11.659192825112108</v>
      </c>
      <c r="AK24" s="49">
        <f t="shared" si="9"/>
        <v>10.840108401084011</v>
      </c>
      <c r="AL24" s="49">
        <f>(AL25-AL26)/AL12</f>
        <v>11.702127659574469</v>
      </c>
      <c r="AM24" s="58"/>
      <c r="AN24" s="26"/>
      <c r="AO24" s="26"/>
      <c r="AP24" s="26">
        <v>27</v>
      </c>
      <c r="AQ24" s="26"/>
      <c r="AR24" s="26"/>
      <c r="AS24" s="26"/>
      <c r="AT24" s="26"/>
      <c r="AU24" s="26"/>
      <c r="AV24" s="26"/>
      <c r="AW24" s="26"/>
      <c r="AX24" s="26"/>
      <c r="AY24" s="26"/>
      <c r="AZ24" s="26"/>
      <c r="BA24" s="26"/>
      <c r="BB24" s="26"/>
      <c r="BC24" s="26"/>
      <c r="BD24" s="26"/>
      <c r="BE24" s="26"/>
      <c r="BF24" s="26"/>
      <c r="BG24" s="26"/>
      <c r="BH24" s="26"/>
      <c r="BI24" s="26"/>
    </row>
    <row r="25" spans="2:76" ht="26.25" hidden="1" x14ac:dyDescent="0.2">
      <c r="B25" s="7"/>
      <c r="C25" s="29" t="s">
        <v>84</v>
      </c>
      <c r="D25" s="4"/>
      <c r="E25" s="4"/>
      <c r="F25" s="17">
        <v>1766</v>
      </c>
      <c r="G25" s="17">
        <v>1556</v>
      </c>
      <c r="H25" s="135">
        <v>1524</v>
      </c>
      <c r="I25" s="129">
        <v>1235</v>
      </c>
      <c r="J25" s="129">
        <v>1900</v>
      </c>
      <c r="K25" s="129">
        <v>1714</v>
      </c>
      <c r="L25" s="129">
        <v>1631</v>
      </c>
      <c r="M25" s="142">
        <v>1700</v>
      </c>
      <c r="N25" s="142">
        <v>1631</v>
      </c>
      <c r="O25" s="138">
        <v>1615</v>
      </c>
      <c r="P25" s="138">
        <v>1650</v>
      </c>
      <c r="Q25" s="142">
        <v>1616</v>
      </c>
      <c r="R25" s="142">
        <v>1664</v>
      </c>
      <c r="S25" s="142">
        <v>1648</v>
      </c>
      <c r="T25" s="142">
        <v>1696</v>
      </c>
      <c r="U25" s="142">
        <v>1670</v>
      </c>
      <c r="V25" s="142">
        <v>1770</v>
      </c>
      <c r="W25" s="142">
        <v>1690</v>
      </c>
      <c r="X25" s="142">
        <v>1800</v>
      </c>
      <c r="Y25" s="142">
        <v>1710</v>
      </c>
      <c r="Z25" s="142">
        <v>1830</v>
      </c>
      <c r="AA25" s="138">
        <v>1750</v>
      </c>
      <c r="AB25" s="138">
        <v>1850</v>
      </c>
      <c r="AC25" s="142">
        <v>1770</v>
      </c>
      <c r="AD25" s="142">
        <v>1900</v>
      </c>
      <c r="AE25" s="142">
        <v>1790</v>
      </c>
      <c r="AF25" s="142">
        <v>1930</v>
      </c>
      <c r="AG25" s="142">
        <v>1810</v>
      </c>
      <c r="AH25" s="142">
        <v>1950</v>
      </c>
      <c r="AI25" s="142">
        <v>1820</v>
      </c>
      <c r="AJ25" s="142">
        <v>2000</v>
      </c>
      <c r="AK25" s="138">
        <v>1850</v>
      </c>
      <c r="AL25" s="138">
        <v>2050</v>
      </c>
      <c r="AM25" s="58"/>
      <c r="AN25" s="26"/>
      <c r="AO25" s="26"/>
      <c r="AP25" s="26"/>
      <c r="AQ25" s="26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</row>
    <row r="26" spans="2:76" ht="24.75" hidden="1" customHeight="1" x14ac:dyDescent="0.2">
      <c r="B26" s="7"/>
      <c r="C26" s="29" t="s">
        <v>85</v>
      </c>
      <c r="D26" s="4"/>
      <c r="E26" s="4"/>
      <c r="F26" s="17">
        <v>1870</v>
      </c>
      <c r="G26" s="17">
        <v>1255</v>
      </c>
      <c r="H26" s="135">
        <v>1169</v>
      </c>
      <c r="I26" s="129">
        <v>1159</v>
      </c>
      <c r="J26" s="129">
        <v>1840</v>
      </c>
      <c r="K26" s="129">
        <v>1540</v>
      </c>
      <c r="L26" s="129">
        <v>1225</v>
      </c>
      <c r="M26" s="142">
        <v>1540</v>
      </c>
      <c r="N26" s="142">
        <v>1170</v>
      </c>
      <c r="O26" s="138">
        <v>1450</v>
      </c>
      <c r="P26" s="138">
        <v>1550</v>
      </c>
      <c r="Q26" s="142">
        <v>1466</v>
      </c>
      <c r="R26" s="142">
        <v>1534</v>
      </c>
      <c r="S26" s="142">
        <v>1390</v>
      </c>
      <c r="T26" s="142">
        <v>1350</v>
      </c>
      <c r="U26" s="142">
        <v>1350</v>
      </c>
      <c r="V26" s="142">
        <v>1300</v>
      </c>
      <c r="W26" s="142">
        <v>1300</v>
      </c>
      <c r="X26" s="142">
        <v>1250</v>
      </c>
      <c r="Y26" s="142">
        <v>1250</v>
      </c>
      <c r="Z26" s="142">
        <v>1200</v>
      </c>
      <c r="AA26" s="138">
        <v>1200</v>
      </c>
      <c r="AB26" s="138">
        <v>1250</v>
      </c>
      <c r="AC26" s="142">
        <v>1215</v>
      </c>
      <c r="AD26" s="142">
        <v>1290</v>
      </c>
      <c r="AE26" s="142">
        <v>1220</v>
      </c>
      <c r="AF26" s="142">
        <v>1300</v>
      </c>
      <c r="AG26" s="142">
        <v>1230</v>
      </c>
      <c r="AH26" s="142">
        <v>1310</v>
      </c>
      <c r="AI26" s="142">
        <v>1230</v>
      </c>
      <c r="AJ26" s="142">
        <v>1350</v>
      </c>
      <c r="AK26" s="138">
        <v>1250</v>
      </c>
      <c r="AL26" s="138">
        <v>1390</v>
      </c>
      <c r="AM26" s="58"/>
      <c r="AN26" s="26"/>
      <c r="AO26" s="26"/>
      <c r="AP26" s="26"/>
      <c r="AQ26" s="26"/>
      <c r="AR26" s="26"/>
      <c r="AS26" s="26"/>
      <c r="AT26" s="26"/>
      <c r="AU26" s="26"/>
      <c r="AV26" s="26"/>
      <c r="AW26" s="26"/>
      <c r="AX26" s="26"/>
      <c r="AY26" s="26"/>
      <c r="AZ26" s="26"/>
      <c r="BA26" s="26"/>
      <c r="BB26" s="26"/>
      <c r="BC26" s="26"/>
      <c r="BD26" s="26"/>
      <c r="BE26" s="26"/>
      <c r="BF26" s="26"/>
      <c r="BG26" s="26"/>
      <c r="BH26" s="26"/>
      <c r="BI26" s="26"/>
    </row>
    <row r="27" spans="2:76" ht="26.25" hidden="1" x14ac:dyDescent="0.2">
      <c r="B27" s="7"/>
      <c r="C27" s="5"/>
      <c r="D27" s="4"/>
      <c r="E27" s="4"/>
      <c r="F27" s="47">
        <f t="shared" ref="F27:H27" si="10">F25-F26</f>
        <v>-104</v>
      </c>
      <c r="G27" s="47">
        <f t="shared" si="10"/>
        <v>301</v>
      </c>
      <c r="H27" s="47">
        <f t="shared" si="10"/>
        <v>355</v>
      </c>
      <c r="I27" s="47">
        <f t="shared" ref="I27:AK27" si="11">I25-I26</f>
        <v>76</v>
      </c>
      <c r="J27" s="47">
        <f t="shared" si="11"/>
        <v>60</v>
      </c>
      <c r="K27" s="47">
        <f t="shared" si="11"/>
        <v>174</v>
      </c>
      <c r="L27" s="47">
        <f t="shared" si="11"/>
        <v>406</v>
      </c>
      <c r="M27" s="47">
        <f t="shared" si="11"/>
        <v>160</v>
      </c>
      <c r="N27" s="47">
        <f t="shared" si="11"/>
        <v>461</v>
      </c>
      <c r="O27" s="64">
        <f t="shared" si="11"/>
        <v>165</v>
      </c>
      <c r="P27" s="64">
        <f t="shared" si="11"/>
        <v>100</v>
      </c>
      <c r="Q27" s="47">
        <f t="shared" si="11"/>
        <v>150</v>
      </c>
      <c r="R27" s="47">
        <f t="shared" si="11"/>
        <v>130</v>
      </c>
      <c r="S27" s="47">
        <f t="shared" si="11"/>
        <v>258</v>
      </c>
      <c r="T27" s="47">
        <f t="shared" si="11"/>
        <v>346</v>
      </c>
      <c r="U27" s="47">
        <f t="shared" si="11"/>
        <v>320</v>
      </c>
      <c r="V27" s="47">
        <f t="shared" si="11"/>
        <v>470</v>
      </c>
      <c r="W27" s="47">
        <f t="shared" si="11"/>
        <v>390</v>
      </c>
      <c r="X27" s="47">
        <f t="shared" si="11"/>
        <v>550</v>
      </c>
      <c r="Y27" s="47">
        <f t="shared" si="11"/>
        <v>460</v>
      </c>
      <c r="Z27" s="47">
        <f t="shared" si="11"/>
        <v>630</v>
      </c>
      <c r="AA27" s="64">
        <f t="shared" si="11"/>
        <v>550</v>
      </c>
      <c r="AB27" s="64">
        <f t="shared" si="11"/>
        <v>600</v>
      </c>
      <c r="AC27" s="47">
        <f t="shared" si="11"/>
        <v>555</v>
      </c>
      <c r="AD27" s="47">
        <v>190</v>
      </c>
      <c r="AE27" s="47">
        <f t="shared" si="11"/>
        <v>570</v>
      </c>
      <c r="AF27" s="47">
        <v>210</v>
      </c>
      <c r="AG27" s="47">
        <f t="shared" si="11"/>
        <v>580</v>
      </c>
      <c r="AH27" s="47">
        <f t="shared" si="11"/>
        <v>640</v>
      </c>
      <c r="AI27" s="47">
        <f t="shared" si="11"/>
        <v>590</v>
      </c>
      <c r="AJ27" s="47">
        <f t="shared" si="11"/>
        <v>650</v>
      </c>
      <c r="AK27" s="64">
        <f t="shared" si="11"/>
        <v>600</v>
      </c>
      <c r="AL27" s="64">
        <v>320</v>
      </c>
      <c r="AM27" s="58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</row>
    <row r="28" spans="2:76" ht="26.25" hidden="1" x14ac:dyDescent="0.2">
      <c r="B28" s="7"/>
      <c r="C28" s="5"/>
      <c r="D28" s="4"/>
      <c r="E28" s="4"/>
      <c r="F28" s="17"/>
      <c r="G28" s="17"/>
      <c r="H28" s="17"/>
      <c r="I28" s="34"/>
      <c r="J28" s="34"/>
      <c r="K28" s="34"/>
      <c r="L28" s="34"/>
      <c r="M28" s="34"/>
      <c r="N28" s="34"/>
      <c r="O28" s="65"/>
      <c r="P28" s="65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65"/>
      <c r="AB28" s="65"/>
      <c r="AC28" s="34"/>
      <c r="AD28" s="34"/>
      <c r="AE28" s="34"/>
      <c r="AF28" s="34"/>
      <c r="AG28" s="34"/>
      <c r="AH28" s="34"/>
      <c r="AI28" s="34"/>
      <c r="AJ28" s="34"/>
      <c r="AK28" s="65"/>
      <c r="AL28" s="65"/>
      <c r="AM28" s="58"/>
      <c r="AN28" s="26"/>
      <c r="AO28" s="26"/>
      <c r="AP28" s="26"/>
      <c r="AQ28" s="26"/>
      <c r="AR28" s="26"/>
      <c r="AS28" s="26"/>
      <c r="AT28" s="26"/>
      <c r="AU28" s="26"/>
      <c r="AV28" s="26"/>
      <c r="AW28" s="26"/>
      <c r="AX28" s="26"/>
      <c r="AY28" s="26"/>
      <c r="AZ28" s="26"/>
      <c r="BA28" s="26"/>
      <c r="BB28" s="26"/>
      <c r="BC28" s="26"/>
      <c r="BD28" s="26"/>
      <c r="BE28" s="26"/>
      <c r="BF28" s="26"/>
      <c r="BG28" s="26"/>
      <c r="BH28" s="26"/>
      <c r="BI28" s="26"/>
    </row>
    <row r="29" spans="2:76" s="14" customFormat="1" ht="26.25" outlineLevel="1" x14ac:dyDescent="0.3">
      <c r="B29" s="43" t="s">
        <v>70</v>
      </c>
      <c r="C29" s="42" t="s">
        <v>50</v>
      </c>
      <c r="D29" s="81"/>
      <c r="E29" s="81"/>
      <c r="F29" s="77"/>
      <c r="G29" s="77"/>
      <c r="H29" s="77"/>
      <c r="I29" s="82"/>
      <c r="J29" s="82"/>
      <c r="K29" s="78"/>
      <c r="L29" s="82"/>
      <c r="M29" s="78"/>
      <c r="N29" s="82"/>
      <c r="O29" s="79"/>
      <c r="P29" s="83"/>
      <c r="Q29" s="78"/>
      <c r="R29" s="82"/>
      <c r="S29" s="78"/>
      <c r="T29" s="82"/>
      <c r="U29" s="78"/>
      <c r="V29" s="82"/>
      <c r="W29" s="78"/>
      <c r="X29" s="82"/>
      <c r="Y29" s="78"/>
      <c r="Z29" s="82"/>
      <c r="AA29" s="79"/>
      <c r="AB29" s="83"/>
      <c r="AC29" s="78"/>
      <c r="AD29" s="82"/>
      <c r="AE29" s="82"/>
      <c r="AF29" s="82"/>
      <c r="AG29" s="82"/>
      <c r="AH29" s="82"/>
      <c r="AI29" s="82"/>
      <c r="AJ29" s="82"/>
      <c r="AK29" s="83"/>
      <c r="AL29" s="83"/>
      <c r="AM29" s="84"/>
      <c r="AN29" s="85"/>
      <c r="AO29" s="85"/>
      <c r="AP29" s="85"/>
      <c r="AQ29" s="85"/>
      <c r="AR29" s="85"/>
      <c r="AS29" s="85"/>
      <c r="AT29" s="85"/>
      <c r="AU29" s="85"/>
      <c r="AV29" s="85"/>
      <c r="AW29" s="85"/>
      <c r="AX29" s="85"/>
      <c r="AY29" s="85"/>
      <c r="AZ29" s="85"/>
      <c r="BA29" s="85"/>
      <c r="BB29" s="85"/>
      <c r="BC29" s="85"/>
      <c r="BD29" s="85"/>
      <c r="BE29" s="85"/>
      <c r="BF29" s="85"/>
      <c r="BG29" s="85"/>
      <c r="BH29" s="85"/>
      <c r="BI29" s="85"/>
    </row>
    <row r="30" spans="2:76" s="14" customFormat="1" ht="29.25" customHeight="1" outlineLevel="1" x14ac:dyDescent="0.35">
      <c r="B30" s="179">
        <f>B24+1</f>
        <v>6</v>
      </c>
      <c r="C30" s="108" t="s">
        <v>32</v>
      </c>
      <c r="D30" s="103" t="s">
        <v>26</v>
      </c>
      <c r="E30" s="105">
        <f>E34+E52+E55+E37</f>
        <v>2889.2999999999997</v>
      </c>
      <c r="F30" s="105">
        <f>F34+F52+F55+F37</f>
        <v>2563.33</v>
      </c>
      <c r="G30" s="105">
        <f t="shared" ref="G30:AL30" si="12">G34+G52+G55+G37</f>
        <v>3140.84</v>
      </c>
      <c r="H30" s="124">
        <f>H34+H52+H55+H37</f>
        <v>3143.4</v>
      </c>
      <c r="I30" s="124">
        <f>I34+I52+I55+I37</f>
        <v>2557.12</v>
      </c>
      <c r="J30" s="124">
        <f t="shared" si="12"/>
        <v>3547.39</v>
      </c>
      <c r="K30" s="124">
        <f t="shared" si="12"/>
        <v>2295.69</v>
      </c>
      <c r="L30" s="124">
        <f t="shared" si="12"/>
        <v>3326.11</v>
      </c>
      <c r="M30" s="124">
        <f t="shared" si="12"/>
        <v>2179.5699999999997</v>
      </c>
      <c r="N30" s="124">
        <f t="shared" si="12"/>
        <v>2415.5500000000002</v>
      </c>
      <c r="O30" s="144">
        <f t="shared" si="12"/>
        <v>2226.0100000000002</v>
      </c>
      <c r="P30" s="144">
        <f t="shared" si="12"/>
        <v>2326.5300000000002</v>
      </c>
      <c r="Q30" s="124">
        <f t="shared" si="12"/>
        <v>2305.4699999999998</v>
      </c>
      <c r="R30" s="124">
        <f t="shared" si="12"/>
        <v>2518.23</v>
      </c>
      <c r="S30" s="124">
        <f t="shared" si="12"/>
        <v>2383.36</v>
      </c>
      <c r="T30" s="124">
        <f t="shared" si="12"/>
        <v>2671.7200000000003</v>
      </c>
      <c r="U30" s="124">
        <f t="shared" si="12"/>
        <v>2464.5499999999997</v>
      </c>
      <c r="V30" s="124">
        <f t="shared" si="12"/>
        <v>2829.19</v>
      </c>
      <c r="W30" s="124">
        <f t="shared" si="12"/>
        <v>2546.62</v>
      </c>
      <c r="X30" s="124">
        <f t="shared" si="12"/>
        <v>2992.53</v>
      </c>
      <c r="Y30" s="124">
        <f t="shared" si="12"/>
        <v>2629.8399999999997</v>
      </c>
      <c r="Z30" s="124">
        <f t="shared" si="12"/>
        <v>3177.41</v>
      </c>
      <c r="AA30" s="144">
        <f t="shared" si="12"/>
        <v>2731.4700000000003</v>
      </c>
      <c r="AB30" s="144">
        <f t="shared" si="12"/>
        <v>3393.02</v>
      </c>
      <c r="AC30" s="124">
        <f t="shared" si="12"/>
        <v>2845.7200000000003</v>
      </c>
      <c r="AD30" s="124">
        <f t="shared" si="12"/>
        <v>3623.54</v>
      </c>
      <c r="AE30" s="124">
        <f t="shared" si="12"/>
        <v>2969.24</v>
      </c>
      <c r="AF30" s="124">
        <f t="shared" si="12"/>
        <v>3872.19</v>
      </c>
      <c r="AG30" s="124">
        <f t="shared" si="12"/>
        <v>3101.08</v>
      </c>
      <c r="AH30" s="124">
        <f t="shared" si="12"/>
        <v>4147.1499999999996</v>
      </c>
      <c r="AI30" s="124">
        <f t="shared" si="12"/>
        <v>3239.91</v>
      </c>
      <c r="AJ30" s="124">
        <f t="shared" si="12"/>
        <v>4443.6899999999996</v>
      </c>
      <c r="AK30" s="144">
        <f t="shared" si="12"/>
        <v>3396.42</v>
      </c>
      <c r="AL30" s="144">
        <f t="shared" si="12"/>
        <v>4772.0599999999995</v>
      </c>
      <c r="AM30" s="86"/>
      <c r="AP30" s="33"/>
      <c r="AQ30" s="33"/>
      <c r="AR30" s="33">
        <v>51.3</v>
      </c>
      <c r="AS30" s="33"/>
      <c r="AT30" s="33"/>
      <c r="AU30" s="33"/>
      <c r="AV30" s="33">
        <v>52.1</v>
      </c>
      <c r="AW30" s="33"/>
      <c r="AX30" s="33"/>
      <c r="AY30" s="33"/>
      <c r="AZ30" s="33"/>
      <c r="BA30" s="33">
        <v>53.7</v>
      </c>
      <c r="BB30" s="33"/>
      <c r="BC30" s="33"/>
      <c r="BD30" s="33"/>
      <c r="BE30" s="33"/>
      <c r="BF30" s="33">
        <v>55.9</v>
      </c>
      <c r="BH30" s="33"/>
      <c r="BI30" s="33"/>
      <c r="BJ30" s="33">
        <v>52.2</v>
      </c>
      <c r="BK30" s="33"/>
      <c r="BL30" s="33"/>
      <c r="BM30" s="70">
        <v>52.4</v>
      </c>
      <c r="BN30" s="33">
        <v>53.9</v>
      </c>
      <c r="BO30" s="33"/>
      <c r="BP30" s="33"/>
      <c r="BQ30" s="33"/>
      <c r="BR30" s="33"/>
      <c r="BS30" s="70">
        <v>55.1</v>
      </c>
      <c r="BT30" s="33"/>
      <c r="BU30" s="33"/>
      <c r="BV30" s="33"/>
      <c r="BW30" s="33"/>
      <c r="BX30" s="70">
        <v>58.8</v>
      </c>
    </row>
    <row r="31" spans="2:76" s="14" customFormat="1" ht="21" customHeight="1" outlineLevel="1" x14ac:dyDescent="0.35">
      <c r="B31" s="180"/>
      <c r="C31" s="108" t="s">
        <v>27</v>
      </c>
      <c r="D31" s="103" t="s">
        <v>5</v>
      </c>
      <c r="E31" s="103"/>
      <c r="F31" s="105">
        <f>F30/E30/F32*10000</f>
        <v>77.079086523231425</v>
      </c>
      <c r="G31" s="105">
        <f>G30/F30/G32*10000</f>
        <v>125.15799611035675</v>
      </c>
      <c r="H31" s="124">
        <f>H30/G30/H32*10000</f>
        <v>101.6055907188203</v>
      </c>
      <c r="I31" s="124">
        <f>I30/H30/I32*10000</f>
        <v>65.816228094288263</v>
      </c>
      <c r="J31" s="124">
        <f>J30/H30/J32*10000</f>
        <v>107.99235156032856</v>
      </c>
      <c r="K31" s="124">
        <f>K30/I30/K32*10000</f>
        <v>83.590678829325441</v>
      </c>
      <c r="L31" s="124">
        <f>L30/I30/L32*10000</f>
        <v>126.776319143637</v>
      </c>
      <c r="M31" s="124">
        <f>M30/K30/M32*10000</f>
        <v>92.535892562532879</v>
      </c>
      <c r="N31" s="124">
        <f>N30/K30/N32*10000</f>
        <v>101.95841881117232</v>
      </c>
      <c r="O31" s="144">
        <f>O30/M30/O32*10000</f>
        <v>93.870124544263874</v>
      </c>
      <c r="P31" s="144">
        <f>P30/M30/P32*10000</f>
        <v>98.109020559640911</v>
      </c>
      <c r="Q31" s="124">
        <f t="shared" ref="Q31:AL31" si="13">Q30/O30/Q32*10000</f>
        <v>100.65074401382549</v>
      </c>
      <c r="R31" s="124">
        <f t="shared" si="13"/>
        <v>105.18925073902588</v>
      </c>
      <c r="S31" s="124">
        <f t="shared" si="13"/>
        <v>100.56273036589231</v>
      </c>
      <c r="T31" s="124">
        <f t="shared" si="13"/>
        <v>103.20540285607005</v>
      </c>
      <c r="U31" s="124">
        <f t="shared" si="13"/>
        <v>100.59001489444844</v>
      </c>
      <c r="V31" s="124">
        <f t="shared" si="13"/>
        <v>103.00968477963831</v>
      </c>
      <c r="W31" s="124">
        <f t="shared" si="13"/>
        <v>100.51558334537832</v>
      </c>
      <c r="X31" s="124">
        <f t="shared" si="13"/>
        <v>102.89239679124449</v>
      </c>
      <c r="Y31" s="124">
        <f t="shared" si="13"/>
        <v>100.45511763559217</v>
      </c>
      <c r="Z31" s="124">
        <f t="shared" si="13"/>
        <v>103.28604086692076</v>
      </c>
      <c r="AA31" s="144">
        <f t="shared" si="13"/>
        <v>101.03549966674012</v>
      </c>
      <c r="AB31" s="144">
        <f t="shared" si="13"/>
        <v>103.87715506782152</v>
      </c>
      <c r="AC31" s="124">
        <f t="shared" si="13"/>
        <v>101.34506755452257</v>
      </c>
      <c r="AD31" s="124">
        <f t="shared" si="13"/>
        <v>103.88516301043477</v>
      </c>
      <c r="AE31" s="124">
        <f t="shared" si="13"/>
        <v>101.49859293095821</v>
      </c>
      <c r="AF31" s="124">
        <f t="shared" si="13"/>
        <v>103.95143395362734</v>
      </c>
      <c r="AG31" s="124">
        <f t="shared" si="13"/>
        <v>101.5955189204045</v>
      </c>
      <c r="AH31" s="124">
        <f t="shared" si="13"/>
        <v>104.18374632969692</v>
      </c>
      <c r="AI31" s="124">
        <f t="shared" si="13"/>
        <v>101.63115508547065</v>
      </c>
      <c r="AJ31" s="124">
        <f t="shared" si="13"/>
        <v>104.23195789936092</v>
      </c>
      <c r="AK31" s="144">
        <f t="shared" si="13"/>
        <v>101.9753791258577</v>
      </c>
      <c r="AL31" s="144">
        <f t="shared" si="13"/>
        <v>104.46457138239295</v>
      </c>
      <c r="AM31" s="86"/>
      <c r="AO31" s="87" t="s">
        <v>64</v>
      </c>
      <c r="AP31" s="80">
        <v>2019</v>
      </c>
      <c r="AQ31" s="80">
        <v>2020</v>
      </c>
      <c r="AR31" s="80">
        <v>2021</v>
      </c>
      <c r="AS31" s="80">
        <v>2022</v>
      </c>
      <c r="AT31" s="80">
        <v>2023</v>
      </c>
      <c r="AU31" s="80">
        <v>2024</v>
      </c>
      <c r="AV31" s="80">
        <v>2025</v>
      </c>
      <c r="AW31" s="80">
        <v>2026</v>
      </c>
      <c r="AX31" s="80">
        <v>2027</v>
      </c>
      <c r="AY31" s="80">
        <v>2028</v>
      </c>
      <c r="AZ31" s="80">
        <v>2029</v>
      </c>
      <c r="BA31" s="80">
        <v>2030</v>
      </c>
      <c r="BB31" s="80">
        <v>2031</v>
      </c>
      <c r="BC31" s="80">
        <v>2032</v>
      </c>
      <c r="BD31" s="80">
        <v>2033</v>
      </c>
      <c r="BE31" s="80">
        <v>2034</v>
      </c>
      <c r="BF31" s="80">
        <v>2035</v>
      </c>
      <c r="BG31" s="88" t="s">
        <v>65</v>
      </c>
      <c r="BH31" s="80">
        <v>2019</v>
      </c>
      <c r="BI31" s="80">
        <v>2020</v>
      </c>
      <c r="BJ31" s="80">
        <v>2021</v>
      </c>
      <c r="BK31" s="80">
        <v>2022</v>
      </c>
      <c r="BL31" s="80">
        <v>2023</v>
      </c>
      <c r="BM31" s="80">
        <v>2024</v>
      </c>
      <c r="BN31" s="80">
        <v>2025</v>
      </c>
      <c r="BO31" s="80">
        <v>2026</v>
      </c>
      <c r="BP31" s="80">
        <v>2027</v>
      </c>
      <c r="BQ31" s="80">
        <v>2028</v>
      </c>
      <c r="BR31" s="80">
        <v>2029</v>
      </c>
      <c r="BS31" s="80">
        <v>2030</v>
      </c>
      <c r="BT31" s="80">
        <v>2031</v>
      </c>
      <c r="BU31" s="80">
        <v>2032</v>
      </c>
      <c r="BV31" s="80">
        <v>2033</v>
      </c>
      <c r="BW31" s="80">
        <v>2034</v>
      </c>
      <c r="BX31" s="80">
        <v>2035</v>
      </c>
    </row>
    <row r="32" spans="2:76" s="14" customFormat="1" ht="45.75" customHeight="1" outlineLevel="1" x14ac:dyDescent="0.35">
      <c r="B32" s="181"/>
      <c r="C32" s="108" t="s">
        <v>60</v>
      </c>
      <c r="D32" s="103" t="s">
        <v>80</v>
      </c>
      <c r="E32" s="103"/>
      <c r="F32" s="106">
        <v>115.1</v>
      </c>
      <c r="G32" s="106">
        <v>97.9</v>
      </c>
      <c r="H32" s="132">
        <v>98.5</v>
      </c>
      <c r="I32" s="132">
        <v>123.6</v>
      </c>
      <c r="J32" s="132">
        <v>104.5</v>
      </c>
      <c r="K32" s="132">
        <v>107.4</v>
      </c>
      <c r="L32" s="132">
        <v>102.6</v>
      </c>
      <c r="M32" s="124">
        <v>102.6</v>
      </c>
      <c r="N32" s="124">
        <v>103.2</v>
      </c>
      <c r="O32" s="144">
        <v>108.8</v>
      </c>
      <c r="P32" s="144">
        <v>108.8</v>
      </c>
      <c r="Q32" s="124">
        <v>102.9</v>
      </c>
      <c r="R32" s="124">
        <v>102.9</v>
      </c>
      <c r="S32" s="124">
        <v>102.8</v>
      </c>
      <c r="T32" s="124">
        <v>102.8</v>
      </c>
      <c r="U32" s="124">
        <v>102.8</v>
      </c>
      <c r="V32" s="124">
        <v>102.8</v>
      </c>
      <c r="W32" s="124">
        <v>102.8</v>
      </c>
      <c r="X32" s="124">
        <v>102.8</v>
      </c>
      <c r="Y32" s="124">
        <v>102.8</v>
      </c>
      <c r="Z32" s="124">
        <v>102.8</v>
      </c>
      <c r="AA32" s="144">
        <v>102.8</v>
      </c>
      <c r="AB32" s="144">
        <v>102.8</v>
      </c>
      <c r="AC32" s="124">
        <v>102.8</v>
      </c>
      <c r="AD32" s="124">
        <v>102.8</v>
      </c>
      <c r="AE32" s="124">
        <v>102.8</v>
      </c>
      <c r="AF32" s="124">
        <v>102.8</v>
      </c>
      <c r="AG32" s="124">
        <v>102.8</v>
      </c>
      <c r="AH32" s="124">
        <v>102.8</v>
      </c>
      <c r="AI32" s="124">
        <v>102.8</v>
      </c>
      <c r="AJ32" s="124">
        <v>102.8</v>
      </c>
      <c r="AK32" s="144">
        <v>102.8</v>
      </c>
      <c r="AL32" s="144">
        <v>102.8</v>
      </c>
      <c r="AM32" s="86"/>
      <c r="AP32" s="89">
        <f t="shared" ref="AP32:BF32" si="14">AP33+AP34</f>
        <v>51.135999999999996</v>
      </c>
      <c r="AQ32" s="89">
        <f t="shared" si="14"/>
        <v>51.387</v>
      </c>
      <c r="AR32" s="89">
        <f t="shared" si="14"/>
        <v>51.407999999999994</v>
      </c>
      <c r="AS32" s="89">
        <f t="shared" si="14"/>
        <v>51.518000000000001</v>
      </c>
      <c r="AT32" s="89">
        <f t="shared" si="14"/>
        <v>51.616</v>
      </c>
      <c r="AU32" s="90">
        <f t="shared" si="14"/>
        <v>51.713999999999999</v>
      </c>
      <c r="AV32" s="89">
        <f t="shared" si="14"/>
        <v>52.043999999999997</v>
      </c>
      <c r="AW32" s="89">
        <f t="shared" si="14"/>
        <v>52.373999999999995</v>
      </c>
      <c r="AX32" s="89">
        <f t="shared" si="14"/>
        <v>52.703999999999994</v>
      </c>
      <c r="AY32" s="89">
        <f t="shared" si="14"/>
        <v>53.033999999999992</v>
      </c>
      <c r="AZ32" s="89">
        <f t="shared" si="14"/>
        <v>53.36399999999999</v>
      </c>
      <c r="BA32" s="90">
        <f t="shared" si="14"/>
        <v>53.693999999999988</v>
      </c>
      <c r="BB32" s="89">
        <f t="shared" si="14"/>
        <v>54.133999999999993</v>
      </c>
      <c r="BC32" s="89">
        <f t="shared" si="14"/>
        <v>54.573999999999998</v>
      </c>
      <c r="BD32" s="89">
        <f t="shared" si="14"/>
        <v>55.013999999999996</v>
      </c>
      <c r="BE32" s="89">
        <f t="shared" si="14"/>
        <v>55.453999999999994</v>
      </c>
      <c r="BF32" s="90">
        <f t="shared" si="14"/>
        <v>55.893999999999998</v>
      </c>
      <c r="BG32" s="85"/>
      <c r="BH32" s="89">
        <f>BH33+BH34</f>
        <v>51.135000000000005</v>
      </c>
      <c r="BI32" s="89">
        <f>BI33+BI34</f>
        <v>51.385999999999996</v>
      </c>
      <c r="BJ32" s="89">
        <f>BJ33+BJ34</f>
        <v>51.585999999999999</v>
      </c>
      <c r="BK32" s="89">
        <f t="shared" ref="BK32:BN32" si="15">BK33+BK34</f>
        <v>51.817</v>
      </c>
      <c r="BL32" s="89">
        <f t="shared" si="15"/>
        <v>52.076999999999998</v>
      </c>
      <c r="BM32" s="90">
        <f t="shared" si="15"/>
        <v>52.377000000000002</v>
      </c>
      <c r="BN32" s="89">
        <f t="shared" si="15"/>
        <v>52.716999999999999</v>
      </c>
      <c r="BO32" s="89">
        <f t="shared" ref="BO32:BX32" si="16">BO33+BO34</f>
        <v>53.097000000000001</v>
      </c>
      <c r="BP32" s="89">
        <f t="shared" si="16"/>
        <v>53.516999999999996</v>
      </c>
      <c r="BQ32" s="89">
        <f t="shared" si="16"/>
        <v>53.988</v>
      </c>
      <c r="BR32" s="89">
        <f t="shared" si="16"/>
        <v>54.507999999999996</v>
      </c>
      <c r="BS32" s="90">
        <f t="shared" si="16"/>
        <v>55.078999999999994</v>
      </c>
      <c r="BT32" s="89">
        <f t="shared" si="16"/>
        <v>55.709999999999994</v>
      </c>
      <c r="BU32" s="89">
        <f t="shared" si="16"/>
        <v>56.39</v>
      </c>
      <c r="BV32" s="89">
        <f t="shared" si="16"/>
        <v>57.121000000000002</v>
      </c>
      <c r="BW32" s="89">
        <f t="shared" si="16"/>
        <v>57.921000000000006</v>
      </c>
      <c r="BX32" s="90">
        <f t="shared" si="16"/>
        <v>58.821000000000005</v>
      </c>
    </row>
    <row r="33" spans="2:76" s="14" customFormat="1" ht="39" customHeight="1" outlineLevel="1" x14ac:dyDescent="0.35">
      <c r="B33" s="179">
        <f>B30+1</f>
        <v>7</v>
      </c>
      <c r="C33" s="109" t="s">
        <v>52</v>
      </c>
      <c r="D33" s="103" t="s">
        <v>5</v>
      </c>
      <c r="E33" s="103"/>
      <c r="F33" s="105">
        <f>F34/E34/F35*10000</f>
        <v>68.451221548221937</v>
      </c>
      <c r="G33" s="105">
        <f>G34/F34/G35*10000</f>
        <v>141.88811226789622</v>
      </c>
      <c r="H33" s="124">
        <f>H34/G34/H35*10000</f>
        <v>128.88670740438869</v>
      </c>
      <c r="I33" s="124">
        <f>I34/H34/I35*10000</f>
        <v>101.66526486419971</v>
      </c>
      <c r="J33" s="124">
        <f>J34/H34/J35*10000</f>
        <v>106.02530713280281</v>
      </c>
      <c r="K33" s="124">
        <f>K34/I34/K35*10000</f>
        <v>114.03892853191546</v>
      </c>
      <c r="L33" s="124">
        <f>L34/I34/L35*10000</f>
        <v>83.798858145398327</v>
      </c>
      <c r="M33" s="124">
        <f>M34/K34/M35*10000</f>
        <v>103.32692854022648</v>
      </c>
      <c r="N33" s="124">
        <f>N34/K34/N35*10000</f>
        <v>99.917550342436869</v>
      </c>
      <c r="O33" s="144">
        <f>O34/M34/O35*10000</f>
        <v>89.571522048053595</v>
      </c>
      <c r="P33" s="144">
        <f>P34/M34/P35*10000</f>
        <v>93.119322315567345</v>
      </c>
      <c r="Q33" s="124">
        <f>Q34/O34/Q35*10000</f>
        <v>105.0003584486343</v>
      </c>
      <c r="R33" s="124">
        <f>R34/P34/R35*10000</f>
        <v>109.54039237320279</v>
      </c>
      <c r="S33" s="124">
        <f t="shared" ref="S33:AL33" si="17">S34/Q34/S35*10000</f>
        <v>102.97124342550663</v>
      </c>
      <c r="T33" s="124">
        <f t="shared" si="17"/>
        <v>108.45277162277134</v>
      </c>
      <c r="U33" s="124">
        <f t="shared" si="17"/>
        <v>102.97159701199071</v>
      </c>
      <c r="V33" s="124">
        <f t="shared" si="17"/>
        <v>103.56208034596563</v>
      </c>
      <c r="W33" s="124">
        <f t="shared" si="17"/>
        <v>102.96917205923346</v>
      </c>
      <c r="X33" s="124">
        <f t="shared" si="17"/>
        <v>105.81003155260581</v>
      </c>
      <c r="Y33" s="124">
        <f t="shared" si="17"/>
        <v>102.97017683923715</v>
      </c>
      <c r="Z33" s="124">
        <f t="shared" si="17"/>
        <v>105.88205350097991</v>
      </c>
      <c r="AA33" s="144">
        <f t="shared" si="17"/>
        <v>102.97099043704598</v>
      </c>
      <c r="AB33" s="144">
        <f t="shared" si="17"/>
        <v>106.15003808073115</v>
      </c>
      <c r="AC33" s="124">
        <f t="shared" si="17"/>
        <v>102.96863019635296</v>
      </c>
      <c r="AD33" s="124">
        <f t="shared" si="17"/>
        <v>105.89175509479199</v>
      </c>
      <c r="AE33" s="124">
        <f t="shared" si="17"/>
        <v>102.971365529916</v>
      </c>
      <c r="AF33" s="124">
        <f t="shared" si="17"/>
        <v>105.85964256803038</v>
      </c>
      <c r="AG33" s="124">
        <f t="shared" si="17"/>
        <v>102.97050250838093</v>
      </c>
      <c r="AH33" s="124">
        <f t="shared" si="17"/>
        <v>105.99883517763541</v>
      </c>
      <c r="AI33" s="124">
        <f t="shared" si="17"/>
        <v>102.9688152152706</v>
      </c>
      <c r="AJ33" s="124">
        <f t="shared" si="17"/>
        <v>105.90069996010591</v>
      </c>
      <c r="AK33" s="144">
        <f t="shared" si="17"/>
        <v>102.97096195600422</v>
      </c>
      <c r="AL33" s="144">
        <f t="shared" si="17"/>
        <v>105.96093855960939</v>
      </c>
      <c r="AM33" s="86"/>
      <c r="AO33" s="91" t="s">
        <v>82</v>
      </c>
      <c r="AP33" s="89">
        <f>15.974</f>
        <v>15.974</v>
      </c>
      <c r="AQ33" s="89">
        <v>15.975</v>
      </c>
      <c r="AR33" s="89">
        <f>AQ33+0.011</f>
        <v>15.985999999999999</v>
      </c>
      <c r="AS33" s="89">
        <f>AR33+0.01</f>
        <v>15.995999999999999</v>
      </c>
      <c r="AT33" s="89">
        <f>AS33+0.008</f>
        <v>16.003999999999998</v>
      </c>
      <c r="AU33" s="90">
        <f>AT33+0.008</f>
        <v>16.011999999999997</v>
      </c>
      <c r="AV33" s="89">
        <f>AU33+0.03</f>
        <v>16.041999999999998</v>
      </c>
      <c r="AW33" s="89">
        <f t="shared" ref="AW33:BA33" si="18">AV33+0.03</f>
        <v>16.071999999999999</v>
      </c>
      <c r="AX33" s="89">
        <f t="shared" si="18"/>
        <v>16.102</v>
      </c>
      <c r="AY33" s="89">
        <f t="shared" si="18"/>
        <v>16.132000000000001</v>
      </c>
      <c r="AZ33" s="89">
        <f t="shared" si="18"/>
        <v>16.162000000000003</v>
      </c>
      <c r="BA33" s="90">
        <f t="shared" si="18"/>
        <v>16.192000000000004</v>
      </c>
      <c r="BB33" s="89">
        <f>BA33+0.05</f>
        <v>16.242000000000004</v>
      </c>
      <c r="BC33" s="89">
        <f t="shared" ref="BC33:BF33" si="19">BB33+0.05</f>
        <v>16.292000000000005</v>
      </c>
      <c r="BD33" s="89">
        <f t="shared" si="19"/>
        <v>16.342000000000006</v>
      </c>
      <c r="BE33" s="89">
        <f t="shared" si="19"/>
        <v>16.392000000000007</v>
      </c>
      <c r="BF33" s="90">
        <f t="shared" si="19"/>
        <v>16.442000000000007</v>
      </c>
      <c r="BG33" s="85"/>
      <c r="BH33" s="89">
        <v>15.974</v>
      </c>
      <c r="BI33" s="89">
        <v>15.974</v>
      </c>
      <c r="BJ33" s="89">
        <f>BI33+0.03</f>
        <v>16.004000000000001</v>
      </c>
      <c r="BK33" s="89">
        <f>BJ33+0.035</f>
        <v>16.039000000000001</v>
      </c>
      <c r="BL33" s="89">
        <f>BK33+0.039</f>
        <v>16.078000000000003</v>
      </c>
      <c r="BM33" s="90">
        <f>BL33+0.045</f>
        <v>16.123000000000005</v>
      </c>
      <c r="BN33" s="89">
        <f>BM33+0.051</f>
        <v>16.174000000000003</v>
      </c>
      <c r="BO33" s="89">
        <f>BN33+0.057</f>
        <v>16.231000000000002</v>
      </c>
      <c r="BP33" s="89">
        <f>BO33+0.063</f>
        <v>16.294</v>
      </c>
      <c r="BQ33" s="89">
        <f>BP33+0.071</f>
        <v>16.365000000000002</v>
      </c>
      <c r="BR33" s="89">
        <f>BQ33+0.078</f>
        <v>16.443000000000001</v>
      </c>
      <c r="BS33" s="90">
        <f>BR33+0.086</f>
        <v>16.529</v>
      </c>
      <c r="BT33" s="89">
        <f>BS33+0.095</f>
        <v>16.623999999999999</v>
      </c>
      <c r="BU33" s="89">
        <f>BT33+0.102</f>
        <v>16.725999999999999</v>
      </c>
      <c r="BV33" s="89">
        <f>BU33+0.11</f>
        <v>16.835999999999999</v>
      </c>
      <c r="BW33" s="89">
        <f>BV33+0.12</f>
        <v>16.956</v>
      </c>
      <c r="BX33" s="90">
        <f>BW33+0.135</f>
        <v>17.091000000000001</v>
      </c>
    </row>
    <row r="34" spans="2:76" s="14" customFormat="1" ht="19.5" customHeight="1" outlineLevel="1" x14ac:dyDescent="0.35">
      <c r="B34" s="180"/>
      <c r="C34" s="110" t="s">
        <v>61</v>
      </c>
      <c r="D34" s="103" t="s">
        <v>26</v>
      </c>
      <c r="E34" s="103">
        <v>105.7</v>
      </c>
      <c r="F34" s="105">
        <v>92.25</v>
      </c>
      <c r="G34" s="105">
        <v>130.63</v>
      </c>
      <c r="H34" s="124">
        <v>143.11000000000001</v>
      </c>
      <c r="I34" s="145">
        <v>202.09</v>
      </c>
      <c r="J34" s="124">
        <v>156.74</v>
      </c>
      <c r="K34" s="145">
        <v>264.8</v>
      </c>
      <c r="L34" s="124">
        <v>171.72</v>
      </c>
      <c r="M34" s="145">
        <v>270.60000000000002</v>
      </c>
      <c r="N34" s="124">
        <v>265.64</v>
      </c>
      <c r="O34" s="146">
        <v>278.98</v>
      </c>
      <c r="P34" s="144">
        <v>290.02999999999997</v>
      </c>
      <c r="Q34" s="124">
        <v>292.93</v>
      </c>
      <c r="R34" s="124">
        <v>317.7</v>
      </c>
      <c r="S34" s="124">
        <v>304.64999999999998</v>
      </c>
      <c r="T34" s="124">
        <v>348</v>
      </c>
      <c r="U34" s="124">
        <v>316.83999999999997</v>
      </c>
      <c r="V34" s="124">
        <v>364</v>
      </c>
      <c r="W34" s="124">
        <v>329.51</v>
      </c>
      <c r="X34" s="124">
        <v>389</v>
      </c>
      <c r="Y34" s="124">
        <v>342.69</v>
      </c>
      <c r="Z34" s="124">
        <v>416</v>
      </c>
      <c r="AA34" s="144">
        <v>356.4</v>
      </c>
      <c r="AB34" s="144">
        <v>446</v>
      </c>
      <c r="AC34" s="124">
        <v>370.65</v>
      </c>
      <c r="AD34" s="124">
        <v>477</v>
      </c>
      <c r="AE34" s="124">
        <v>385.48</v>
      </c>
      <c r="AF34" s="124">
        <v>510</v>
      </c>
      <c r="AG34" s="124">
        <v>400.9</v>
      </c>
      <c r="AH34" s="124">
        <v>546</v>
      </c>
      <c r="AI34" s="124">
        <v>416.93</v>
      </c>
      <c r="AJ34" s="124">
        <v>584</v>
      </c>
      <c r="AK34" s="144">
        <v>433.61</v>
      </c>
      <c r="AL34" s="144">
        <v>625</v>
      </c>
      <c r="AM34" s="86"/>
      <c r="AO34" s="91" t="s">
        <v>83</v>
      </c>
      <c r="AP34" s="89">
        <v>35.161999999999999</v>
      </c>
      <c r="AQ34" s="89">
        <v>35.411999999999999</v>
      </c>
      <c r="AR34" s="89">
        <f>AQ34+0.01</f>
        <v>35.421999999999997</v>
      </c>
      <c r="AS34" s="89">
        <f>AR34+0.1</f>
        <v>35.521999999999998</v>
      </c>
      <c r="AT34" s="89">
        <f>AS34+0.09</f>
        <v>35.612000000000002</v>
      </c>
      <c r="AU34" s="90">
        <f>AT34+0.09</f>
        <v>35.702000000000005</v>
      </c>
      <c r="AV34" s="89">
        <f>AU34+0.3</f>
        <v>36.002000000000002</v>
      </c>
      <c r="AW34" s="89">
        <f t="shared" ref="AW34:BA34" si="20">AV34+0.3</f>
        <v>36.302</v>
      </c>
      <c r="AX34" s="89">
        <f t="shared" si="20"/>
        <v>36.601999999999997</v>
      </c>
      <c r="AY34" s="89">
        <f t="shared" si="20"/>
        <v>36.901999999999994</v>
      </c>
      <c r="AZ34" s="89">
        <f t="shared" si="20"/>
        <v>37.201999999999991</v>
      </c>
      <c r="BA34" s="90">
        <f t="shared" si="20"/>
        <v>37.501999999999988</v>
      </c>
      <c r="BB34" s="89">
        <f>BA34+0.39</f>
        <v>37.891999999999989</v>
      </c>
      <c r="BC34" s="89">
        <f t="shared" ref="BC34:BF34" si="21">BB34+0.39</f>
        <v>38.281999999999989</v>
      </c>
      <c r="BD34" s="89">
        <f t="shared" si="21"/>
        <v>38.67199999999999</v>
      </c>
      <c r="BE34" s="89">
        <f t="shared" si="21"/>
        <v>39.061999999999991</v>
      </c>
      <c r="BF34" s="89">
        <f t="shared" si="21"/>
        <v>39.451999999999991</v>
      </c>
      <c r="BG34" s="85"/>
      <c r="BH34" s="89">
        <v>35.161000000000001</v>
      </c>
      <c r="BI34" s="89">
        <v>35.411999999999999</v>
      </c>
      <c r="BJ34" s="89">
        <f>BI34+0.17</f>
        <v>35.582000000000001</v>
      </c>
      <c r="BK34" s="89">
        <f>BJ34+0.196</f>
        <v>35.777999999999999</v>
      </c>
      <c r="BL34" s="89">
        <f>BK34+0.221</f>
        <v>35.998999999999995</v>
      </c>
      <c r="BM34" s="90">
        <f>BL34+0.255</f>
        <v>36.253999999999998</v>
      </c>
      <c r="BN34" s="89">
        <f>BM34+0.289</f>
        <v>36.542999999999999</v>
      </c>
      <c r="BO34" s="89">
        <f>BN34+0.323</f>
        <v>36.866</v>
      </c>
      <c r="BP34" s="89">
        <f>BO34+0.357</f>
        <v>37.222999999999999</v>
      </c>
      <c r="BQ34" s="89">
        <f>BP34+0.4</f>
        <v>37.622999999999998</v>
      </c>
      <c r="BR34" s="89">
        <f>BQ34+0.442</f>
        <v>38.064999999999998</v>
      </c>
      <c r="BS34" s="90">
        <f>BR34+0.485</f>
        <v>38.549999999999997</v>
      </c>
      <c r="BT34" s="89">
        <f>BS34+0.536</f>
        <v>39.085999999999999</v>
      </c>
      <c r="BU34" s="89">
        <f>BT34+0.578</f>
        <v>39.664000000000001</v>
      </c>
      <c r="BV34" s="89">
        <f>BU34+0.621</f>
        <v>40.285000000000004</v>
      </c>
      <c r="BW34" s="89">
        <f>BV34+0.68</f>
        <v>40.965000000000003</v>
      </c>
      <c r="BX34" s="90">
        <f>BW34+0.765</f>
        <v>41.730000000000004</v>
      </c>
    </row>
    <row r="35" spans="2:76" s="14" customFormat="1" ht="33" customHeight="1" outlineLevel="1" x14ac:dyDescent="0.35">
      <c r="B35" s="181"/>
      <c r="C35" s="110" t="s">
        <v>12</v>
      </c>
      <c r="D35" s="103" t="s">
        <v>19</v>
      </c>
      <c r="E35" s="103"/>
      <c r="F35" s="106">
        <v>127.5</v>
      </c>
      <c r="G35" s="106">
        <v>99.8</v>
      </c>
      <c r="H35" s="124">
        <v>85</v>
      </c>
      <c r="I35" s="132">
        <v>138.9</v>
      </c>
      <c r="J35" s="132">
        <v>103.3</v>
      </c>
      <c r="K35" s="132">
        <v>114.9</v>
      </c>
      <c r="L35" s="132">
        <v>101.4</v>
      </c>
      <c r="M35" s="124">
        <v>98.9</v>
      </c>
      <c r="N35" s="124">
        <v>100.4</v>
      </c>
      <c r="O35" s="144">
        <v>115.1</v>
      </c>
      <c r="P35" s="144">
        <v>115.1</v>
      </c>
      <c r="Q35" s="124">
        <v>100</v>
      </c>
      <c r="R35" s="124">
        <v>100</v>
      </c>
      <c r="S35" s="124">
        <v>101</v>
      </c>
      <c r="T35" s="124">
        <v>101</v>
      </c>
      <c r="U35" s="124">
        <v>101</v>
      </c>
      <c r="V35" s="124">
        <v>101</v>
      </c>
      <c r="W35" s="124">
        <v>101</v>
      </c>
      <c r="X35" s="124">
        <v>101</v>
      </c>
      <c r="Y35" s="124">
        <v>101</v>
      </c>
      <c r="Z35" s="124">
        <v>101</v>
      </c>
      <c r="AA35" s="144">
        <v>101</v>
      </c>
      <c r="AB35" s="144">
        <v>101</v>
      </c>
      <c r="AC35" s="124">
        <v>101</v>
      </c>
      <c r="AD35" s="124">
        <v>101</v>
      </c>
      <c r="AE35" s="124">
        <v>101</v>
      </c>
      <c r="AF35" s="124">
        <v>101</v>
      </c>
      <c r="AG35" s="124">
        <v>101</v>
      </c>
      <c r="AH35" s="124">
        <v>101</v>
      </c>
      <c r="AI35" s="124">
        <v>101</v>
      </c>
      <c r="AJ35" s="124">
        <v>101</v>
      </c>
      <c r="AK35" s="144">
        <v>101</v>
      </c>
      <c r="AL35" s="144">
        <v>101</v>
      </c>
      <c r="AM35" s="86"/>
      <c r="AP35" s="91">
        <v>13</v>
      </c>
      <c r="AQ35" s="91">
        <v>250</v>
      </c>
      <c r="AR35" s="91">
        <v>21</v>
      </c>
      <c r="AS35" s="91">
        <v>110</v>
      </c>
      <c r="AT35" s="91">
        <v>91</v>
      </c>
      <c r="AU35" s="92">
        <v>91</v>
      </c>
      <c r="AV35" s="91">
        <v>330</v>
      </c>
      <c r="AW35" s="91">
        <v>330</v>
      </c>
      <c r="AX35" s="91">
        <v>330</v>
      </c>
      <c r="AY35" s="91">
        <v>330</v>
      </c>
      <c r="AZ35" s="91">
        <v>330</v>
      </c>
      <c r="BA35" s="92">
        <v>330</v>
      </c>
      <c r="BB35" s="91">
        <v>440</v>
      </c>
      <c r="BC35" s="91">
        <v>440</v>
      </c>
      <c r="BD35" s="91">
        <v>440</v>
      </c>
      <c r="BE35" s="91">
        <v>440</v>
      </c>
      <c r="BF35" s="92">
        <v>440</v>
      </c>
      <c r="BH35" s="14">
        <v>13</v>
      </c>
      <c r="BI35" s="14">
        <v>250</v>
      </c>
      <c r="BJ35" s="14">
        <v>200</v>
      </c>
      <c r="BK35" s="14">
        <v>230</v>
      </c>
      <c r="BL35" s="14">
        <v>260</v>
      </c>
      <c r="BM35" s="93">
        <v>300</v>
      </c>
      <c r="BN35" s="14">
        <v>340</v>
      </c>
      <c r="BO35" s="14">
        <v>380</v>
      </c>
      <c r="BP35" s="14">
        <v>420</v>
      </c>
      <c r="BQ35" s="14">
        <v>470</v>
      </c>
      <c r="BR35" s="14">
        <v>520</v>
      </c>
      <c r="BS35" s="93">
        <v>570</v>
      </c>
      <c r="BT35" s="14">
        <v>630</v>
      </c>
      <c r="BU35" s="14">
        <v>680</v>
      </c>
      <c r="BV35" s="14">
        <v>730</v>
      </c>
      <c r="BW35" s="14">
        <v>800</v>
      </c>
      <c r="BX35" s="93">
        <v>900</v>
      </c>
    </row>
    <row r="36" spans="2:76" s="14" customFormat="1" ht="39" customHeight="1" outlineLevel="1" x14ac:dyDescent="0.35">
      <c r="B36" s="179">
        <f>B33+1</f>
        <v>8</v>
      </c>
      <c r="C36" s="109" t="s">
        <v>33</v>
      </c>
      <c r="D36" s="103" t="s">
        <v>5</v>
      </c>
      <c r="E36" s="103"/>
      <c r="F36" s="105">
        <f>F37/E37/F38*10000</f>
        <v>77.667207611108168</v>
      </c>
      <c r="G36" s="105">
        <f>G37/F37/G38*10000</f>
        <v>128.08543015772284</v>
      </c>
      <c r="H36" s="124">
        <f>H37/G37/H38*10000</f>
        <v>99.834145357097867</v>
      </c>
      <c r="I36" s="124">
        <f>I37/H37/I38*10000</f>
        <v>62.381815605470564</v>
      </c>
      <c r="J36" s="124">
        <f>J37/H37/J38*10000</f>
        <v>106.89102564102564</v>
      </c>
      <c r="K36" s="124">
        <f>K37/I37/K38*10000</f>
        <v>79.291611333855684</v>
      </c>
      <c r="L36" s="124">
        <f>L37/I37/L38*10000</f>
        <v>133.93078365072492</v>
      </c>
      <c r="M36" s="124">
        <f>M37/K37/M38*10000</f>
        <v>89.406571862904443</v>
      </c>
      <c r="N36" s="124">
        <f>N37/K37/N38*10000</f>
        <v>101.43695084036909</v>
      </c>
      <c r="O36" s="144">
        <f>O37/M37/O38*10000</f>
        <v>95.273736978379958</v>
      </c>
      <c r="P36" s="144">
        <f>P37/O37/P38*10000</f>
        <v>98.268090910422131</v>
      </c>
      <c r="Q36" s="124">
        <f>Q37/O37/Q38*10000</f>
        <v>99.137131180575423</v>
      </c>
      <c r="R36" s="124">
        <f t="shared" ref="R36:AL36" si="22">R37/P37/R38*10000</f>
        <v>100.62792910619117</v>
      </c>
      <c r="S36" s="124">
        <f t="shared" si="22"/>
        <v>99.65279492868261</v>
      </c>
      <c r="T36" s="124">
        <f t="shared" si="22"/>
        <v>101.57773959611342</v>
      </c>
      <c r="U36" s="124">
        <f t="shared" si="22"/>
        <v>99.689489980122531</v>
      </c>
      <c r="V36" s="124">
        <f t="shared" si="22"/>
        <v>102.1690714374968</v>
      </c>
      <c r="W36" s="124">
        <f t="shared" si="22"/>
        <v>99.585738402800942</v>
      </c>
      <c r="X36" s="124">
        <f t="shared" si="22"/>
        <v>101.58447979619613</v>
      </c>
      <c r="Y36" s="124">
        <f t="shared" si="22"/>
        <v>99.499683999479288</v>
      </c>
      <c r="Z36" s="124">
        <f t="shared" si="22"/>
        <v>102.13373250482626</v>
      </c>
      <c r="AA36" s="144">
        <f t="shared" si="22"/>
        <v>100.31116645685445</v>
      </c>
      <c r="AB36" s="144">
        <f t="shared" si="22"/>
        <v>102.93931613728569</v>
      </c>
      <c r="AC36" s="124">
        <f t="shared" si="22"/>
        <v>100.74455494444751</v>
      </c>
      <c r="AD36" s="124">
        <f t="shared" si="22"/>
        <v>102.99908612327479</v>
      </c>
      <c r="AE36" s="124">
        <f t="shared" si="22"/>
        <v>100.95758581566743</v>
      </c>
      <c r="AF36" s="124">
        <f t="shared" si="22"/>
        <v>103.10101550977464</v>
      </c>
      <c r="AG36" s="124">
        <f t="shared" si="22"/>
        <v>101.08995433169386</v>
      </c>
      <c r="AH36" s="124">
        <f t="shared" si="22"/>
        <v>103.41451115938588</v>
      </c>
      <c r="AI36" s="124">
        <f t="shared" si="22"/>
        <v>101.13760113760114</v>
      </c>
      <c r="AJ36" s="124">
        <f t="shared" si="22"/>
        <v>103.50281434618785</v>
      </c>
      <c r="AK36" s="144">
        <f t="shared" si="22"/>
        <v>101.61057772098465</v>
      </c>
      <c r="AL36" s="144">
        <f t="shared" si="22"/>
        <v>103.82987084903806</v>
      </c>
      <c r="AM36" s="86"/>
      <c r="AP36" s="68">
        <f>AP32*55%</f>
        <v>28.1248</v>
      </c>
      <c r="AQ36" s="68">
        <f t="shared" ref="AQ36:AU36" si="23">AQ32*55%</f>
        <v>28.262850000000004</v>
      </c>
      <c r="AR36" s="68">
        <f t="shared" si="23"/>
        <v>28.2744</v>
      </c>
      <c r="AS36" s="68">
        <f t="shared" si="23"/>
        <v>28.334900000000001</v>
      </c>
      <c r="AT36" s="68">
        <f t="shared" si="23"/>
        <v>28.388800000000003</v>
      </c>
      <c r="AU36" s="69">
        <f t="shared" si="23"/>
        <v>28.442700000000002</v>
      </c>
      <c r="AV36" s="68">
        <f>AV32*55%</f>
        <v>28.624200000000002</v>
      </c>
      <c r="AW36" s="68">
        <f t="shared" ref="AW36:BF36" si="24">AW32*55%</f>
        <v>28.805699999999998</v>
      </c>
      <c r="AX36" s="68">
        <f t="shared" si="24"/>
        <v>28.987199999999998</v>
      </c>
      <c r="AY36" s="68">
        <f t="shared" si="24"/>
        <v>29.168699999999998</v>
      </c>
      <c r="AZ36" s="68">
        <f t="shared" si="24"/>
        <v>29.350199999999997</v>
      </c>
      <c r="BA36" s="69">
        <f t="shared" si="24"/>
        <v>29.531699999999997</v>
      </c>
      <c r="BB36" s="68">
        <f t="shared" si="24"/>
        <v>29.773699999999998</v>
      </c>
      <c r="BC36" s="68">
        <f t="shared" si="24"/>
        <v>30.015700000000002</v>
      </c>
      <c r="BD36" s="68">
        <f t="shared" si="24"/>
        <v>30.2577</v>
      </c>
      <c r="BE36" s="68">
        <f t="shared" si="24"/>
        <v>30.499699999999997</v>
      </c>
      <c r="BF36" s="69">
        <f t="shared" si="24"/>
        <v>30.741700000000002</v>
      </c>
      <c r="BG36" s="94"/>
      <c r="BH36" s="94">
        <f>BH32*55%</f>
        <v>28.124250000000004</v>
      </c>
      <c r="BI36" s="94">
        <f t="shared" ref="BI36:BX36" si="25">BI32*55%</f>
        <v>28.2623</v>
      </c>
      <c r="BJ36" s="94">
        <f t="shared" si="25"/>
        <v>28.372300000000003</v>
      </c>
      <c r="BK36" s="94">
        <f t="shared" si="25"/>
        <v>28.499350000000003</v>
      </c>
      <c r="BL36" s="94">
        <f t="shared" si="25"/>
        <v>28.64235</v>
      </c>
      <c r="BM36" s="95">
        <f t="shared" si="25"/>
        <v>28.807350000000003</v>
      </c>
      <c r="BN36" s="94">
        <f t="shared" si="25"/>
        <v>28.994350000000001</v>
      </c>
      <c r="BO36" s="94">
        <f t="shared" si="25"/>
        <v>29.203350000000004</v>
      </c>
      <c r="BP36" s="94">
        <f t="shared" si="25"/>
        <v>29.434349999999998</v>
      </c>
      <c r="BQ36" s="94">
        <f t="shared" si="25"/>
        <v>29.6934</v>
      </c>
      <c r="BR36" s="94">
        <f t="shared" si="25"/>
        <v>29.979399999999998</v>
      </c>
      <c r="BS36" s="95">
        <f t="shared" si="25"/>
        <v>30.29345</v>
      </c>
      <c r="BT36" s="94">
        <f t="shared" si="25"/>
        <v>30.640499999999999</v>
      </c>
      <c r="BU36" s="94">
        <f t="shared" si="25"/>
        <v>31.014500000000002</v>
      </c>
      <c r="BV36" s="94">
        <f t="shared" si="25"/>
        <v>31.416550000000004</v>
      </c>
      <c r="BW36" s="94">
        <f t="shared" si="25"/>
        <v>31.856550000000006</v>
      </c>
      <c r="BX36" s="95">
        <f t="shared" si="25"/>
        <v>32.351550000000003</v>
      </c>
    </row>
    <row r="37" spans="2:76" s="14" customFormat="1" ht="28.5" customHeight="1" outlineLevel="1" x14ac:dyDescent="0.35">
      <c r="B37" s="180"/>
      <c r="C37" s="110" t="s">
        <v>61</v>
      </c>
      <c r="D37" s="103" t="s">
        <v>26</v>
      </c>
      <c r="E37" s="105">
        <f t="shared" ref="E37:AL37" si="26">E40+E43+E46+E49</f>
        <v>2509.6</v>
      </c>
      <c r="F37" s="105">
        <f>F40+F43+F46+F49</f>
        <v>2188.88</v>
      </c>
      <c r="G37" s="105">
        <f t="shared" si="26"/>
        <v>2713.92</v>
      </c>
      <c r="H37" s="124">
        <f t="shared" si="26"/>
        <v>2704</v>
      </c>
      <c r="I37" s="124">
        <f>I40+I43+I46+I49</f>
        <v>2042.7199999999998</v>
      </c>
      <c r="J37" s="124">
        <f t="shared" si="26"/>
        <v>3034.85</v>
      </c>
      <c r="K37" s="124">
        <f>K40+K43+K46+K49</f>
        <v>1705.5500000000002</v>
      </c>
      <c r="L37" s="124">
        <f t="shared" si="26"/>
        <v>2815.17</v>
      </c>
      <c r="M37" s="124">
        <f t="shared" si="26"/>
        <v>1570.62</v>
      </c>
      <c r="N37" s="124">
        <f t="shared" si="26"/>
        <v>1792.34</v>
      </c>
      <c r="O37" s="144">
        <f t="shared" si="26"/>
        <v>1595.15</v>
      </c>
      <c r="P37" s="147">
        <f t="shared" si="26"/>
        <v>1670.98</v>
      </c>
      <c r="Q37" s="124">
        <f t="shared" si="26"/>
        <v>1643.06</v>
      </c>
      <c r="R37" s="124">
        <f t="shared" si="26"/>
        <v>1747.0500000000002</v>
      </c>
      <c r="S37" s="124">
        <f t="shared" si="26"/>
        <v>1696.3000000000002</v>
      </c>
      <c r="T37" s="124">
        <f t="shared" si="26"/>
        <v>1838.5</v>
      </c>
      <c r="U37" s="124">
        <f t="shared" si="26"/>
        <v>1751.9099999999999</v>
      </c>
      <c r="V37" s="124">
        <f t="shared" si="26"/>
        <v>1946</v>
      </c>
      <c r="W37" s="124">
        <f t="shared" si="26"/>
        <v>1807.46</v>
      </c>
      <c r="X37" s="124">
        <f t="shared" si="26"/>
        <v>2048</v>
      </c>
      <c r="Y37" s="124">
        <f>Y40+Y43+Y46+Y49</f>
        <v>1863.1599999999999</v>
      </c>
      <c r="Z37" s="124">
        <f>Z40+Z43+Z46+Z49</f>
        <v>2167</v>
      </c>
      <c r="AA37" s="144">
        <f t="shared" si="26"/>
        <v>1936.2400000000002</v>
      </c>
      <c r="AB37" s="144">
        <f t="shared" si="26"/>
        <v>2311</v>
      </c>
      <c r="AC37" s="124">
        <f t="shared" si="26"/>
        <v>2020.88</v>
      </c>
      <c r="AD37" s="124">
        <f t="shared" si="26"/>
        <v>2466</v>
      </c>
      <c r="AE37" s="124">
        <f t="shared" si="26"/>
        <v>2113.6799999999998</v>
      </c>
      <c r="AF37" s="124">
        <f t="shared" si="26"/>
        <v>2634</v>
      </c>
      <c r="AG37" s="124">
        <f t="shared" si="26"/>
        <v>2213.64</v>
      </c>
      <c r="AH37" s="124">
        <f t="shared" si="26"/>
        <v>2822</v>
      </c>
      <c r="AI37" s="124">
        <f t="shared" si="26"/>
        <v>2319.42</v>
      </c>
      <c r="AJ37" s="124">
        <f t="shared" si="26"/>
        <v>3026</v>
      </c>
      <c r="AK37" s="144">
        <f t="shared" si="26"/>
        <v>2441.62</v>
      </c>
      <c r="AL37" s="144">
        <f t="shared" si="26"/>
        <v>3255</v>
      </c>
      <c r="AM37" s="86"/>
      <c r="AO37" s="14" t="s">
        <v>68</v>
      </c>
      <c r="AP37" s="68">
        <f>AP35-AP38</f>
        <v>10.4</v>
      </c>
      <c r="AQ37" s="68">
        <f t="shared" ref="AQ37" si="27">AQ35-AQ38</f>
        <v>200</v>
      </c>
      <c r="AR37" s="68">
        <f>AR35-AR38</f>
        <v>16.8</v>
      </c>
      <c r="AS37" s="68">
        <f t="shared" ref="AS37:BF37" si="28">AS35-AS38</f>
        <v>71.5</v>
      </c>
      <c r="AT37" s="68">
        <f t="shared" si="28"/>
        <v>59.150000000000006</v>
      </c>
      <c r="AU37" s="69">
        <f t="shared" si="28"/>
        <v>59.150000000000006</v>
      </c>
      <c r="AV37" s="68">
        <f t="shared" si="28"/>
        <v>214.5</v>
      </c>
      <c r="AW37" s="68">
        <f t="shared" si="28"/>
        <v>214.5</v>
      </c>
      <c r="AX37" s="68">
        <f t="shared" si="28"/>
        <v>214.5</v>
      </c>
      <c r="AY37" s="68">
        <f t="shared" si="28"/>
        <v>214.5</v>
      </c>
      <c r="AZ37" s="68">
        <f t="shared" si="28"/>
        <v>214.5</v>
      </c>
      <c r="BA37" s="69">
        <f t="shared" si="28"/>
        <v>214.5</v>
      </c>
      <c r="BB37" s="68">
        <f t="shared" si="28"/>
        <v>286</v>
      </c>
      <c r="BC37" s="68">
        <f t="shared" si="28"/>
        <v>286</v>
      </c>
      <c r="BD37" s="68">
        <f t="shared" si="28"/>
        <v>286</v>
      </c>
      <c r="BE37" s="68">
        <f t="shared" si="28"/>
        <v>286</v>
      </c>
      <c r="BF37" s="69">
        <f t="shared" si="28"/>
        <v>286</v>
      </c>
      <c r="BG37" s="94"/>
      <c r="BH37" s="96">
        <f>BH35-BH38</f>
        <v>9.1</v>
      </c>
      <c r="BI37" s="96">
        <f>BI35-BI38</f>
        <v>175</v>
      </c>
      <c r="BJ37" s="96">
        <f t="shared" ref="BJ37:BX37" si="29">BJ35-BJ38</f>
        <v>140</v>
      </c>
      <c r="BK37" s="96">
        <f t="shared" si="29"/>
        <v>144.9</v>
      </c>
      <c r="BL37" s="96">
        <f t="shared" si="29"/>
        <v>150.80000000000001</v>
      </c>
      <c r="BM37" s="97">
        <f t="shared" si="29"/>
        <v>165</v>
      </c>
      <c r="BN37" s="96">
        <f t="shared" si="29"/>
        <v>187</v>
      </c>
      <c r="BO37" s="96">
        <f t="shared" si="29"/>
        <v>190</v>
      </c>
      <c r="BP37" s="96">
        <f t="shared" si="29"/>
        <v>197.39999999999998</v>
      </c>
      <c r="BQ37" s="96">
        <f t="shared" si="29"/>
        <v>211.5</v>
      </c>
      <c r="BR37" s="96">
        <f t="shared" si="29"/>
        <v>223.60000000000002</v>
      </c>
      <c r="BS37" s="97">
        <f t="shared" si="29"/>
        <v>228</v>
      </c>
      <c r="BT37" s="96">
        <f t="shared" si="29"/>
        <v>252</v>
      </c>
      <c r="BU37" s="96">
        <f t="shared" si="29"/>
        <v>258.39999999999998</v>
      </c>
      <c r="BV37" s="96">
        <f t="shared" si="29"/>
        <v>255.5</v>
      </c>
      <c r="BW37" s="96">
        <f t="shared" si="29"/>
        <v>280</v>
      </c>
      <c r="BX37" s="97">
        <f t="shared" si="29"/>
        <v>315</v>
      </c>
    </row>
    <row r="38" spans="2:76" s="14" customFormat="1" ht="28.5" customHeight="1" outlineLevel="1" x14ac:dyDescent="0.3">
      <c r="B38" s="181"/>
      <c r="C38" s="110" t="s">
        <v>12</v>
      </c>
      <c r="D38" s="103" t="s">
        <v>19</v>
      </c>
      <c r="E38" s="103"/>
      <c r="F38" s="106">
        <v>112.3</v>
      </c>
      <c r="G38" s="106">
        <v>96.8</v>
      </c>
      <c r="H38" s="132">
        <v>99.8</v>
      </c>
      <c r="I38" s="132">
        <v>121.1</v>
      </c>
      <c r="J38" s="124">
        <v>105</v>
      </c>
      <c r="K38" s="132">
        <v>105.3</v>
      </c>
      <c r="L38" s="132">
        <v>102.9</v>
      </c>
      <c r="M38" s="124">
        <v>103</v>
      </c>
      <c r="N38" s="124">
        <v>103.6</v>
      </c>
      <c r="O38" s="144">
        <v>106.6</v>
      </c>
      <c r="P38" s="144">
        <v>106.6</v>
      </c>
      <c r="Q38" s="124">
        <v>103.9</v>
      </c>
      <c r="R38" s="124">
        <v>103.9</v>
      </c>
      <c r="S38" s="124">
        <v>103.6</v>
      </c>
      <c r="T38" s="124">
        <v>103.6</v>
      </c>
      <c r="U38" s="124">
        <v>103.6</v>
      </c>
      <c r="V38" s="124">
        <v>103.6</v>
      </c>
      <c r="W38" s="124">
        <v>103.6</v>
      </c>
      <c r="X38" s="124">
        <v>103.6</v>
      </c>
      <c r="Y38" s="124">
        <v>103.6</v>
      </c>
      <c r="Z38" s="124">
        <v>103.6</v>
      </c>
      <c r="AA38" s="124">
        <v>103.6</v>
      </c>
      <c r="AB38" s="124">
        <v>103.6</v>
      </c>
      <c r="AC38" s="124">
        <v>103.6</v>
      </c>
      <c r="AD38" s="124">
        <v>103.6</v>
      </c>
      <c r="AE38" s="124">
        <v>103.6</v>
      </c>
      <c r="AF38" s="124">
        <v>103.6</v>
      </c>
      <c r="AG38" s="124">
        <v>103.6</v>
      </c>
      <c r="AH38" s="124">
        <v>103.6</v>
      </c>
      <c r="AI38" s="124">
        <v>103.6</v>
      </c>
      <c r="AJ38" s="124">
        <v>103.6</v>
      </c>
      <c r="AK38" s="124">
        <v>103.6</v>
      </c>
      <c r="AL38" s="124">
        <v>103.6</v>
      </c>
      <c r="AM38" s="118"/>
      <c r="AN38" s="118"/>
      <c r="AO38" s="14" t="s">
        <v>69</v>
      </c>
      <c r="AP38" s="68">
        <f>AP35*20%</f>
        <v>2.6</v>
      </c>
      <c r="AQ38" s="68">
        <f>AQ35*20%</f>
        <v>50</v>
      </c>
      <c r="AR38" s="68">
        <f>AR35*20%</f>
        <v>4.2</v>
      </c>
      <c r="AS38" s="68">
        <f>AS35*35%</f>
        <v>38.5</v>
      </c>
      <c r="AT38" s="68">
        <f>AT35*35%</f>
        <v>31.849999999999998</v>
      </c>
      <c r="AU38" s="69">
        <f>AU35*35%</f>
        <v>31.849999999999998</v>
      </c>
      <c r="AV38" s="68">
        <f t="shared" ref="AV38:BF38" si="30">AV35*35%</f>
        <v>115.49999999999999</v>
      </c>
      <c r="AW38" s="68">
        <f t="shared" si="30"/>
        <v>115.49999999999999</v>
      </c>
      <c r="AX38" s="68">
        <f t="shared" si="30"/>
        <v>115.49999999999999</v>
      </c>
      <c r="AY38" s="68">
        <f t="shared" si="30"/>
        <v>115.49999999999999</v>
      </c>
      <c r="AZ38" s="68">
        <f t="shared" si="30"/>
        <v>115.49999999999999</v>
      </c>
      <c r="BA38" s="69">
        <f t="shared" si="30"/>
        <v>115.49999999999999</v>
      </c>
      <c r="BB38" s="68">
        <f t="shared" si="30"/>
        <v>154</v>
      </c>
      <c r="BC38" s="68">
        <f t="shared" si="30"/>
        <v>154</v>
      </c>
      <c r="BD38" s="68">
        <f t="shared" si="30"/>
        <v>154</v>
      </c>
      <c r="BE38" s="68">
        <f t="shared" si="30"/>
        <v>154</v>
      </c>
      <c r="BF38" s="69">
        <f t="shared" si="30"/>
        <v>154</v>
      </c>
      <c r="BG38" s="94"/>
      <c r="BH38" s="96">
        <f>BH35*30%</f>
        <v>3.9</v>
      </c>
      <c r="BI38" s="96">
        <f t="shared" ref="BI38:BJ38" si="31">BI35*30%</f>
        <v>75</v>
      </c>
      <c r="BJ38" s="96">
        <f t="shared" si="31"/>
        <v>60</v>
      </c>
      <c r="BK38" s="96">
        <f>BK35*37%</f>
        <v>85.1</v>
      </c>
      <c r="BL38" s="96">
        <f>BL35*42%</f>
        <v>109.2</v>
      </c>
      <c r="BM38" s="97">
        <f t="shared" ref="BM38:BN38" si="32">BM35*45%</f>
        <v>135</v>
      </c>
      <c r="BN38" s="96">
        <f t="shared" si="32"/>
        <v>153</v>
      </c>
      <c r="BO38" s="96">
        <f>BO35*50%</f>
        <v>190</v>
      </c>
      <c r="BP38" s="96">
        <f>BP35*53%</f>
        <v>222.60000000000002</v>
      </c>
      <c r="BQ38" s="96">
        <f>BQ35*55%</f>
        <v>258.5</v>
      </c>
      <c r="BR38" s="96">
        <f>BR35*57%</f>
        <v>296.39999999999998</v>
      </c>
      <c r="BS38" s="97">
        <f t="shared" ref="BS38" si="33">BS35*60%</f>
        <v>342</v>
      </c>
      <c r="BT38" s="96">
        <f>BT35*60%</f>
        <v>378</v>
      </c>
      <c r="BU38" s="96">
        <f>BU35*62%</f>
        <v>421.6</v>
      </c>
      <c r="BV38" s="96">
        <f t="shared" ref="BV38:BX38" si="34">BV35*65%</f>
        <v>474.5</v>
      </c>
      <c r="BW38" s="96">
        <f t="shared" si="34"/>
        <v>520</v>
      </c>
      <c r="BX38" s="97">
        <f t="shared" si="34"/>
        <v>585</v>
      </c>
    </row>
    <row r="39" spans="2:76" s="14" customFormat="1" ht="28.5" customHeight="1" outlineLevel="1" x14ac:dyDescent="0.35">
      <c r="B39" s="179">
        <f t="shared" ref="B39" si="35">B36+1</f>
        <v>9</v>
      </c>
      <c r="C39" s="111" t="s">
        <v>34</v>
      </c>
      <c r="D39" s="103" t="s">
        <v>5</v>
      </c>
      <c r="E39" s="103"/>
      <c r="F39" s="105">
        <f>F40/E40/F41*10000</f>
        <v>97.763192228459232</v>
      </c>
      <c r="G39" s="105">
        <f>G40/F40/G41*10000</f>
        <v>107.11824241394287</v>
      </c>
      <c r="H39" s="124">
        <f>H40/G40/H41*10000</f>
        <v>107.38951890763867</v>
      </c>
      <c r="I39" s="124">
        <f>I40/H40/I41*10000</f>
        <v>94.862861183684487</v>
      </c>
      <c r="J39" s="124">
        <f>J40/H40/J41*10000</f>
        <v>102.96709751883937</v>
      </c>
      <c r="K39" s="124">
        <f>K40/I40/K41*10000</f>
        <v>90.861890784628145</v>
      </c>
      <c r="L39" s="124">
        <f>L40/I40/L41*10000</f>
        <v>99.046506304663083</v>
      </c>
      <c r="M39" s="124">
        <f>M40/K40/M41*10000</f>
        <v>99.415984008708094</v>
      </c>
      <c r="N39" s="124">
        <f>N40/K40/N41*10000</f>
        <v>108.10311419262388</v>
      </c>
      <c r="O39" s="144">
        <f>O40/M40/O41*10000</f>
        <v>98.468881452303265</v>
      </c>
      <c r="P39" s="144">
        <f>P40/M40/P41*10000</f>
        <v>102.35061155729527</v>
      </c>
      <c r="Q39" s="124">
        <f t="shared" ref="Q39:AK39" si="36">Q40/O40/Q41*10000</f>
        <v>101.0698731460045</v>
      </c>
      <c r="R39" s="124">
        <f t="shared" si="36"/>
        <v>102.03992684305706</v>
      </c>
      <c r="S39" s="124">
        <f t="shared" si="36"/>
        <v>102.04041224449387</v>
      </c>
      <c r="T39" s="124">
        <f t="shared" si="36"/>
        <v>102.0412013876679</v>
      </c>
      <c r="U39" s="124">
        <f t="shared" si="36"/>
        <v>102.04150904133675</v>
      </c>
      <c r="V39" s="124">
        <f t="shared" si="36"/>
        <v>105.90974934448171</v>
      </c>
      <c r="W39" s="124">
        <f t="shared" si="36"/>
        <v>102.04022990527889</v>
      </c>
      <c r="X39" s="124">
        <f t="shared" si="36"/>
        <v>104.04636726079431</v>
      </c>
      <c r="Y39" s="124">
        <f t="shared" si="36"/>
        <v>102.04067670162064</v>
      </c>
      <c r="Z39" s="124">
        <f t="shared" si="36"/>
        <v>105.98214521439698</v>
      </c>
      <c r="AA39" s="144">
        <f t="shared" si="36"/>
        <v>103.98479666157181</v>
      </c>
      <c r="AB39" s="144">
        <f t="shared" si="36"/>
        <v>106.86531857277734</v>
      </c>
      <c r="AC39" s="124">
        <f t="shared" si="36"/>
        <v>103.98462491031277</v>
      </c>
      <c r="AD39" s="124">
        <f t="shared" si="36"/>
        <v>106.82651855625899</v>
      </c>
      <c r="AE39" s="124">
        <f t="shared" si="36"/>
        <v>103.98440446480313</v>
      </c>
      <c r="AF39" s="124">
        <f t="shared" si="36"/>
        <v>106.90943978881332</v>
      </c>
      <c r="AG39" s="124">
        <f t="shared" si="36"/>
        <v>103.98441835889649</v>
      </c>
      <c r="AH39" s="124">
        <f t="shared" si="36"/>
        <v>107.41138560687433</v>
      </c>
      <c r="AI39" s="124">
        <f t="shared" si="36"/>
        <v>103.98473497354536</v>
      </c>
      <c r="AJ39" s="124">
        <f t="shared" si="36"/>
        <v>107.37836008380062</v>
      </c>
      <c r="AK39" s="144">
        <f t="shared" si="36"/>
        <v>104.95611652622425</v>
      </c>
      <c r="AL39" s="144">
        <f>AL40/AJ40/AL41*10000</f>
        <v>107.90082494439912</v>
      </c>
      <c r="AM39" s="86"/>
      <c r="AP39" s="68">
        <f t="shared" ref="AP39:BF39" si="37">AP32*21%</f>
        <v>10.738559999999998</v>
      </c>
      <c r="AQ39" s="68">
        <f t="shared" si="37"/>
        <v>10.791269999999999</v>
      </c>
      <c r="AR39" s="68">
        <f t="shared" si="37"/>
        <v>10.795679999999999</v>
      </c>
      <c r="AS39" s="68">
        <f t="shared" si="37"/>
        <v>10.81878</v>
      </c>
      <c r="AT39" s="68">
        <f t="shared" si="37"/>
        <v>10.839359999999999</v>
      </c>
      <c r="AU39" s="69">
        <f t="shared" si="37"/>
        <v>10.85994</v>
      </c>
      <c r="AV39" s="68">
        <f t="shared" si="37"/>
        <v>10.929239999999998</v>
      </c>
      <c r="AW39" s="68">
        <f t="shared" si="37"/>
        <v>10.998539999999998</v>
      </c>
      <c r="AX39" s="68">
        <f t="shared" si="37"/>
        <v>11.067839999999999</v>
      </c>
      <c r="AY39" s="68">
        <f t="shared" si="37"/>
        <v>11.137139999999999</v>
      </c>
      <c r="AZ39" s="68">
        <f t="shared" si="37"/>
        <v>11.206439999999997</v>
      </c>
      <c r="BA39" s="69">
        <f t="shared" si="37"/>
        <v>11.275739999999997</v>
      </c>
      <c r="BB39" s="68">
        <f t="shared" si="37"/>
        <v>11.368139999999999</v>
      </c>
      <c r="BC39" s="68">
        <f t="shared" si="37"/>
        <v>11.46054</v>
      </c>
      <c r="BD39" s="68">
        <f t="shared" si="37"/>
        <v>11.55294</v>
      </c>
      <c r="BE39" s="68">
        <f t="shared" si="37"/>
        <v>11.645339999999997</v>
      </c>
      <c r="BF39" s="69">
        <f t="shared" si="37"/>
        <v>11.737739999999999</v>
      </c>
      <c r="BG39" s="98"/>
      <c r="BH39" s="98">
        <f>BH32*21%</f>
        <v>10.738350000000001</v>
      </c>
      <c r="BI39" s="98">
        <f t="shared" ref="BI39:BX39" si="38">BI32*21%</f>
        <v>10.791059999999998</v>
      </c>
      <c r="BJ39" s="98">
        <f t="shared" si="38"/>
        <v>10.83306</v>
      </c>
      <c r="BK39" s="98">
        <f t="shared" si="38"/>
        <v>10.88157</v>
      </c>
      <c r="BL39" s="98">
        <f t="shared" si="38"/>
        <v>10.936169999999999</v>
      </c>
      <c r="BM39" s="99">
        <f t="shared" si="38"/>
        <v>10.999169999999999</v>
      </c>
      <c r="BN39" s="98">
        <f t="shared" si="38"/>
        <v>11.07057</v>
      </c>
      <c r="BO39" s="98">
        <f t="shared" si="38"/>
        <v>11.150370000000001</v>
      </c>
      <c r="BP39" s="98">
        <f t="shared" si="38"/>
        <v>11.238569999999999</v>
      </c>
      <c r="BQ39" s="98">
        <f t="shared" si="38"/>
        <v>11.337479999999999</v>
      </c>
      <c r="BR39" s="98">
        <f t="shared" si="38"/>
        <v>11.446679999999999</v>
      </c>
      <c r="BS39" s="99">
        <f t="shared" si="38"/>
        <v>11.566589999999998</v>
      </c>
      <c r="BT39" s="98">
        <f t="shared" si="38"/>
        <v>11.699099999999998</v>
      </c>
      <c r="BU39" s="98">
        <f t="shared" si="38"/>
        <v>11.841899999999999</v>
      </c>
      <c r="BV39" s="98">
        <f t="shared" si="38"/>
        <v>11.99541</v>
      </c>
      <c r="BW39" s="98">
        <f t="shared" si="38"/>
        <v>12.163410000000001</v>
      </c>
      <c r="BX39" s="99">
        <f t="shared" si="38"/>
        <v>12.352410000000001</v>
      </c>
    </row>
    <row r="40" spans="2:76" s="14" customFormat="1" ht="23.25" customHeight="1" outlineLevel="1" x14ac:dyDescent="0.2">
      <c r="B40" s="180"/>
      <c r="C40" s="110" t="s">
        <v>61</v>
      </c>
      <c r="D40" s="103" t="s">
        <v>26</v>
      </c>
      <c r="E40" s="103">
        <v>421.9</v>
      </c>
      <c r="F40" s="105">
        <v>417</v>
      </c>
      <c r="G40" s="105">
        <v>453.83</v>
      </c>
      <c r="H40" s="124">
        <v>499.55</v>
      </c>
      <c r="I40" s="124">
        <v>538.80999999999995</v>
      </c>
      <c r="J40" s="124">
        <v>561.17999999999995</v>
      </c>
      <c r="K40" s="124">
        <v>550.28</v>
      </c>
      <c r="L40" s="124">
        <v>550.75</v>
      </c>
      <c r="M40" s="124">
        <v>561.29</v>
      </c>
      <c r="N40" s="124">
        <v>616.88</v>
      </c>
      <c r="O40" s="144">
        <v>578.12</v>
      </c>
      <c r="P40" s="148">
        <v>600.91</v>
      </c>
      <c r="Q40" s="124">
        <v>601.25</v>
      </c>
      <c r="R40" s="124">
        <v>630.95000000000005</v>
      </c>
      <c r="S40" s="124">
        <v>631.30999999999995</v>
      </c>
      <c r="T40" s="124">
        <v>662.5</v>
      </c>
      <c r="U40" s="124">
        <v>662.88</v>
      </c>
      <c r="V40" s="124">
        <v>722</v>
      </c>
      <c r="W40" s="124">
        <v>696.02</v>
      </c>
      <c r="X40" s="124">
        <v>773</v>
      </c>
      <c r="Y40" s="124">
        <v>730.82</v>
      </c>
      <c r="Z40" s="124">
        <v>843</v>
      </c>
      <c r="AA40" s="144">
        <v>781.98</v>
      </c>
      <c r="AB40" s="144">
        <v>927</v>
      </c>
      <c r="AC40" s="124">
        <v>836.72</v>
      </c>
      <c r="AD40" s="124">
        <v>1019</v>
      </c>
      <c r="AE40" s="124">
        <v>895.29</v>
      </c>
      <c r="AF40" s="124">
        <v>1121</v>
      </c>
      <c r="AG40" s="124">
        <v>957.96</v>
      </c>
      <c r="AH40" s="124">
        <v>1239</v>
      </c>
      <c r="AI40" s="124">
        <v>1025.02</v>
      </c>
      <c r="AJ40" s="124">
        <v>1369</v>
      </c>
      <c r="AK40" s="144">
        <v>1107.02</v>
      </c>
      <c r="AL40" s="144">
        <v>1520</v>
      </c>
    </row>
    <row r="41" spans="2:76" s="14" customFormat="1" ht="22.5" customHeight="1" outlineLevel="1" x14ac:dyDescent="0.2">
      <c r="B41" s="181"/>
      <c r="C41" s="110" t="s">
        <v>12</v>
      </c>
      <c r="D41" s="103" t="s">
        <v>19</v>
      </c>
      <c r="E41" s="103"/>
      <c r="F41" s="106">
        <v>101.1</v>
      </c>
      <c r="G41" s="106">
        <v>101.6</v>
      </c>
      <c r="H41" s="132">
        <v>102.5</v>
      </c>
      <c r="I41" s="132">
        <v>113.7</v>
      </c>
      <c r="J41" s="132">
        <v>109.1</v>
      </c>
      <c r="K41" s="132">
        <v>112.4</v>
      </c>
      <c r="L41" s="124">
        <v>103.2</v>
      </c>
      <c r="M41" s="124">
        <v>102.6</v>
      </c>
      <c r="N41" s="124">
        <v>103.7</v>
      </c>
      <c r="O41" s="144">
        <v>104.6</v>
      </c>
      <c r="P41" s="144">
        <v>104.6</v>
      </c>
      <c r="Q41" s="124">
        <v>102.9</v>
      </c>
      <c r="R41" s="124">
        <v>102.9</v>
      </c>
      <c r="S41" s="124">
        <v>102.9</v>
      </c>
      <c r="T41" s="124">
        <v>102.9</v>
      </c>
      <c r="U41" s="124">
        <v>102.9</v>
      </c>
      <c r="V41" s="124">
        <v>102.9</v>
      </c>
      <c r="W41" s="124">
        <v>102.9</v>
      </c>
      <c r="X41" s="124">
        <v>102.9</v>
      </c>
      <c r="Y41" s="124">
        <v>102.9</v>
      </c>
      <c r="Z41" s="124">
        <v>102.9</v>
      </c>
      <c r="AA41" s="144">
        <v>102.9</v>
      </c>
      <c r="AB41" s="144">
        <v>102.9</v>
      </c>
      <c r="AC41" s="124">
        <v>102.9</v>
      </c>
      <c r="AD41" s="124">
        <v>102.9</v>
      </c>
      <c r="AE41" s="124">
        <v>102.9</v>
      </c>
      <c r="AF41" s="124">
        <v>102.9</v>
      </c>
      <c r="AG41" s="124">
        <v>102.9</v>
      </c>
      <c r="AH41" s="124">
        <v>102.9</v>
      </c>
      <c r="AI41" s="124">
        <v>102.9</v>
      </c>
      <c r="AJ41" s="124">
        <v>102.9</v>
      </c>
      <c r="AK41" s="144">
        <v>102.9</v>
      </c>
      <c r="AL41" s="144">
        <v>102.9</v>
      </c>
    </row>
    <row r="42" spans="2:76" s="14" customFormat="1" ht="76.5" customHeight="1" outlineLevel="1" x14ac:dyDescent="0.2">
      <c r="B42" s="179">
        <f>B39+1</f>
        <v>10</v>
      </c>
      <c r="C42" s="111" t="s">
        <v>35</v>
      </c>
      <c r="D42" s="103"/>
      <c r="E42" s="103"/>
      <c r="F42" s="105">
        <f>F43/E43/F44*10000</f>
        <v>89.057099777393589</v>
      </c>
      <c r="G42" s="105">
        <f>G43/F43/G44*10000</f>
        <v>104.94350913231813</v>
      </c>
      <c r="H42" s="124">
        <f>H43/G43/H44*10000</f>
        <v>99.700897308075767</v>
      </c>
      <c r="I42" s="124">
        <f>I43/H43/I44*10000</f>
        <v>89.129785477098238</v>
      </c>
      <c r="J42" s="124">
        <f>J43/H43/J44*10000</f>
        <v>85.222912020573403</v>
      </c>
      <c r="K42" s="124">
        <f>K43/I43/K44*10000</f>
        <v>49.487565576200907</v>
      </c>
      <c r="L42" s="124">
        <f>L43/I43/L44*10000</f>
        <v>94.782045206522852</v>
      </c>
      <c r="M42" s="124">
        <f>M43/K43/M44*10000</f>
        <v>110.75827166214641</v>
      </c>
      <c r="N42" s="124">
        <f>N43/K43/N44*10000</f>
        <v>51.049256070176583</v>
      </c>
      <c r="O42" s="144">
        <f>O43/M43/O44*10000</f>
        <v>94.824896879224482</v>
      </c>
      <c r="P42" s="144">
        <f>P43/M43/P44*10000</f>
        <v>96.700520321821557</v>
      </c>
      <c r="Q42" s="124">
        <f t="shared" ref="Q42:AL42" si="39">Q43/O43/Q44*10000</f>
        <v>97.962315295416815</v>
      </c>
      <c r="R42" s="124">
        <f t="shared" si="39"/>
        <v>98.932456598358343</v>
      </c>
      <c r="S42" s="124">
        <f t="shared" si="39"/>
        <v>96.525096525096529</v>
      </c>
      <c r="T42" s="124">
        <f t="shared" si="39"/>
        <v>101.76406115492409</v>
      </c>
      <c r="U42" s="124">
        <f t="shared" si="39"/>
        <v>96.525096525096529</v>
      </c>
      <c r="V42" s="124">
        <f t="shared" si="39"/>
        <v>96.525096525096529</v>
      </c>
      <c r="W42" s="124">
        <f t="shared" si="39"/>
        <v>95.558564613939211</v>
      </c>
      <c r="X42" s="124">
        <f t="shared" si="39"/>
        <v>96.525096525096529</v>
      </c>
      <c r="Y42" s="124">
        <f t="shared" si="39"/>
        <v>94.596006124156261</v>
      </c>
      <c r="Z42" s="124">
        <f t="shared" si="39"/>
        <v>96.525096525096529</v>
      </c>
      <c r="AA42" s="144">
        <f t="shared" si="39"/>
        <v>94.592674174867653</v>
      </c>
      <c r="AB42" s="144">
        <f t="shared" si="39"/>
        <v>96.525096525096529</v>
      </c>
      <c r="AC42" s="124">
        <f t="shared" si="39"/>
        <v>94.598105637313864</v>
      </c>
      <c r="AD42" s="124">
        <f t="shared" si="39"/>
        <v>96.525096525096529</v>
      </c>
      <c r="AE42" s="124">
        <f t="shared" si="39"/>
        <v>95.812749560969337</v>
      </c>
      <c r="AF42" s="124">
        <f t="shared" si="39"/>
        <v>96.525096525096529</v>
      </c>
      <c r="AG42" s="124">
        <f t="shared" si="39"/>
        <v>96.525096525096529</v>
      </c>
      <c r="AH42" s="124">
        <f t="shared" si="39"/>
        <v>96.525096525096529</v>
      </c>
      <c r="AI42" s="124">
        <f t="shared" si="39"/>
        <v>96.525096525096529</v>
      </c>
      <c r="AJ42" s="124">
        <f t="shared" si="39"/>
        <v>96.525096525096529</v>
      </c>
      <c r="AK42" s="144">
        <f t="shared" si="39"/>
        <v>96.525096525096529</v>
      </c>
      <c r="AL42" s="144">
        <f t="shared" si="39"/>
        <v>96.525096525096529</v>
      </c>
    </row>
    <row r="43" spans="2:76" s="14" customFormat="1" ht="28.5" customHeight="1" outlineLevel="1" x14ac:dyDescent="0.2">
      <c r="B43" s="180"/>
      <c r="C43" s="110" t="s">
        <v>61</v>
      </c>
      <c r="D43" s="103" t="s">
        <v>26</v>
      </c>
      <c r="E43" s="103">
        <v>517.6</v>
      </c>
      <c r="F43" s="105">
        <v>490</v>
      </c>
      <c r="G43" s="105">
        <v>470</v>
      </c>
      <c r="H43" s="124">
        <v>470</v>
      </c>
      <c r="I43" s="124">
        <v>507.3</v>
      </c>
      <c r="J43" s="124">
        <v>424.18</v>
      </c>
      <c r="K43" s="124">
        <v>239</v>
      </c>
      <c r="L43" s="124">
        <v>498.62</v>
      </c>
      <c r="M43" s="124">
        <v>243.8</v>
      </c>
      <c r="N43" s="124">
        <v>126.4</v>
      </c>
      <c r="O43" s="144">
        <v>246.21</v>
      </c>
      <c r="P43" s="144">
        <v>251.08</v>
      </c>
      <c r="Q43" s="124">
        <v>248.67</v>
      </c>
      <c r="R43" s="124">
        <v>256.10000000000002</v>
      </c>
      <c r="S43" s="124">
        <v>248.67</v>
      </c>
      <c r="T43" s="124">
        <v>270</v>
      </c>
      <c r="U43" s="124">
        <v>248.67</v>
      </c>
      <c r="V43" s="124">
        <v>270</v>
      </c>
      <c r="W43" s="124">
        <v>246.18</v>
      </c>
      <c r="X43" s="124">
        <v>270</v>
      </c>
      <c r="Y43" s="124">
        <v>241.26</v>
      </c>
      <c r="Z43" s="124">
        <v>270</v>
      </c>
      <c r="AA43" s="144">
        <v>236.43</v>
      </c>
      <c r="AB43" s="144">
        <v>270</v>
      </c>
      <c r="AC43" s="124">
        <v>231.71</v>
      </c>
      <c r="AD43" s="124">
        <v>270</v>
      </c>
      <c r="AE43" s="124">
        <v>230</v>
      </c>
      <c r="AF43" s="124">
        <v>270</v>
      </c>
      <c r="AG43" s="124">
        <v>230</v>
      </c>
      <c r="AH43" s="124">
        <v>270</v>
      </c>
      <c r="AI43" s="124">
        <v>230</v>
      </c>
      <c r="AJ43" s="124">
        <v>270</v>
      </c>
      <c r="AK43" s="144">
        <v>230</v>
      </c>
      <c r="AL43" s="144">
        <v>270</v>
      </c>
    </row>
    <row r="44" spans="2:76" s="14" customFormat="1" ht="39" customHeight="1" outlineLevel="1" x14ac:dyDescent="0.2">
      <c r="B44" s="181"/>
      <c r="C44" s="110" t="s">
        <v>12</v>
      </c>
      <c r="D44" s="103" t="s">
        <v>19</v>
      </c>
      <c r="E44" s="103"/>
      <c r="F44" s="106">
        <v>106.3</v>
      </c>
      <c r="G44" s="106">
        <v>91.4</v>
      </c>
      <c r="H44" s="132">
        <v>100.3</v>
      </c>
      <c r="I44" s="132">
        <v>121.1</v>
      </c>
      <c r="J44" s="132">
        <v>105.9</v>
      </c>
      <c r="K44" s="132">
        <v>95.2</v>
      </c>
      <c r="L44" s="132">
        <v>103.7</v>
      </c>
      <c r="M44" s="124">
        <v>92.1</v>
      </c>
      <c r="N44" s="124">
        <v>103.6</v>
      </c>
      <c r="O44" s="144">
        <v>106.5</v>
      </c>
      <c r="P44" s="149">
        <v>106.5</v>
      </c>
      <c r="Q44" s="124">
        <v>103.1</v>
      </c>
      <c r="R44" s="124">
        <v>103.1</v>
      </c>
      <c r="S44" s="124">
        <v>103.6</v>
      </c>
      <c r="T44" s="150">
        <v>103.6</v>
      </c>
      <c r="U44" s="124">
        <v>103.6</v>
      </c>
      <c r="V44" s="124">
        <v>103.6</v>
      </c>
      <c r="W44" s="124">
        <v>103.6</v>
      </c>
      <c r="X44" s="150">
        <v>103.6</v>
      </c>
      <c r="Y44" s="124">
        <v>103.6</v>
      </c>
      <c r="Z44" s="124">
        <v>103.6</v>
      </c>
      <c r="AA44" s="144">
        <v>103.6</v>
      </c>
      <c r="AB44" s="149">
        <v>103.6</v>
      </c>
      <c r="AC44" s="124">
        <v>103.6</v>
      </c>
      <c r="AD44" s="124">
        <v>103.6</v>
      </c>
      <c r="AE44" s="124">
        <v>103.6</v>
      </c>
      <c r="AF44" s="150">
        <v>103.6</v>
      </c>
      <c r="AG44" s="124">
        <v>103.6</v>
      </c>
      <c r="AH44" s="124">
        <v>103.6</v>
      </c>
      <c r="AI44" s="124">
        <v>103.6</v>
      </c>
      <c r="AJ44" s="150">
        <v>103.6</v>
      </c>
      <c r="AK44" s="144">
        <v>103.6</v>
      </c>
      <c r="AL44" s="144">
        <v>103.6</v>
      </c>
    </row>
    <row r="45" spans="2:76" s="14" customFormat="1" ht="39" customHeight="1" outlineLevel="1" x14ac:dyDescent="0.2">
      <c r="B45" s="179">
        <f>B42+1</f>
        <v>11</v>
      </c>
      <c r="C45" s="111" t="s">
        <v>36</v>
      </c>
      <c r="D45" s="103" t="s">
        <v>5</v>
      </c>
      <c r="E45" s="103"/>
      <c r="F45" s="105">
        <f>F46/E46/F47*10000</f>
        <v>187.86599376546317</v>
      </c>
      <c r="G45" s="105">
        <f>G46/F46/G47*10000</f>
        <v>152.86698247551513</v>
      </c>
      <c r="H45" s="124">
        <f>H46/G46/H47*10000</f>
        <v>87.040440530492049</v>
      </c>
      <c r="I45" s="124">
        <f>I46/H46/I47*10000</f>
        <v>112.40724824931367</v>
      </c>
      <c r="J45" s="124">
        <f>J46/H46/J47*10000</f>
        <v>117.00627338006491</v>
      </c>
      <c r="K45" s="124">
        <f>K46/I46/K47*10000</f>
        <v>90.731711722874451</v>
      </c>
      <c r="L45" s="124">
        <f>L46/I46/L47*10000</f>
        <v>86.96654760715893</v>
      </c>
      <c r="M45" s="124">
        <f>M46/K46/M47*10000</f>
        <v>102.35869232671141</v>
      </c>
      <c r="N45" s="124">
        <f>N46/K46/N47*10000</f>
        <v>101.35070650216721</v>
      </c>
      <c r="O45" s="144">
        <f t="shared" ref="O45:AL45" si="40">O46/M46/O47*10000</f>
        <v>95.463036374932955</v>
      </c>
      <c r="P45" s="144">
        <f>P46/M46/P47*10000</f>
        <v>104.39554744301537</v>
      </c>
      <c r="Q45" s="124">
        <f t="shared" si="40"/>
        <v>96.651328904838977</v>
      </c>
      <c r="R45" s="124">
        <f t="shared" si="40"/>
        <v>100.60282516952275</v>
      </c>
      <c r="S45" s="124">
        <f t="shared" si="40"/>
        <v>96.648566072547638</v>
      </c>
      <c r="T45" s="124">
        <f t="shared" si="40"/>
        <v>100.41939866501269</v>
      </c>
      <c r="U45" s="124">
        <f t="shared" si="40"/>
        <v>96.652448632998315</v>
      </c>
      <c r="V45" s="124">
        <f t="shared" si="40"/>
        <v>100.47846889952153</v>
      </c>
      <c r="W45" s="124">
        <f t="shared" si="40"/>
        <v>96.649531253398692</v>
      </c>
      <c r="X45" s="124">
        <f t="shared" si="40"/>
        <v>100.51867637006957</v>
      </c>
      <c r="Y45" s="124">
        <f t="shared" si="40"/>
        <v>96.653132400107424</v>
      </c>
      <c r="Z45" s="124">
        <f t="shared" si="40"/>
        <v>100.28708133971291</v>
      </c>
      <c r="AA45" s="144">
        <f t="shared" si="40"/>
        <v>96.650071560338446</v>
      </c>
      <c r="AB45" s="144">
        <f t="shared" si="40"/>
        <v>100.5636923676297</v>
      </c>
      <c r="AC45" s="124">
        <f t="shared" si="40"/>
        <v>98.850945326339584</v>
      </c>
      <c r="AD45" s="124">
        <f t="shared" si="40"/>
        <v>100.55956532316927</v>
      </c>
      <c r="AE45" s="124">
        <f t="shared" si="40"/>
        <v>98.852297054822117</v>
      </c>
      <c r="AF45" s="124">
        <f t="shared" si="40"/>
        <v>100.32412409322426</v>
      </c>
      <c r="AG45" s="124">
        <f t="shared" si="40"/>
        <v>98.850298722689033</v>
      </c>
      <c r="AH45" s="124">
        <f t="shared" si="40"/>
        <v>100.53104789946896</v>
      </c>
      <c r="AI45" s="124">
        <f t="shared" si="40"/>
        <v>98.851071041372123</v>
      </c>
      <c r="AJ45" s="124">
        <f t="shared" si="40"/>
        <v>100.49848851874836</v>
      </c>
      <c r="AK45" s="144">
        <f t="shared" si="40"/>
        <v>98.854169241798729</v>
      </c>
      <c r="AL45" s="144">
        <f t="shared" si="40"/>
        <v>100.45940639356449</v>
      </c>
    </row>
    <row r="46" spans="2:76" s="14" customFormat="1" ht="27" customHeight="1" outlineLevel="1" x14ac:dyDescent="0.2">
      <c r="B46" s="180"/>
      <c r="C46" s="110" t="s">
        <v>61</v>
      </c>
      <c r="D46" s="103" t="s">
        <v>26</v>
      </c>
      <c r="E46" s="103">
        <v>74.8</v>
      </c>
      <c r="F46" s="105">
        <v>144.88</v>
      </c>
      <c r="G46" s="105">
        <v>210.4</v>
      </c>
      <c r="H46" s="124">
        <v>198.15</v>
      </c>
      <c r="I46" s="124">
        <v>236.99</v>
      </c>
      <c r="J46" s="124">
        <v>240.89</v>
      </c>
      <c r="K46" s="124">
        <v>257.17</v>
      </c>
      <c r="L46" s="124">
        <v>214.14</v>
      </c>
      <c r="M46" s="124">
        <v>279.02999999999997</v>
      </c>
      <c r="N46" s="124">
        <v>271.33</v>
      </c>
      <c r="O46" s="144">
        <v>281.82</v>
      </c>
      <c r="P46" s="144">
        <v>308.19</v>
      </c>
      <c r="Q46" s="124">
        <v>284.64</v>
      </c>
      <c r="R46" s="124">
        <v>324</v>
      </c>
      <c r="S46" s="124">
        <v>287.48</v>
      </c>
      <c r="T46" s="124">
        <v>340</v>
      </c>
      <c r="U46" s="124">
        <v>290.36</v>
      </c>
      <c r="V46" s="124">
        <v>357</v>
      </c>
      <c r="W46" s="124">
        <v>293.26</v>
      </c>
      <c r="X46" s="124">
        <v>375</v>
      </c>
      <c r="Y46" s="124">
        <v>296.2</v>
      </c>
      <c r="Z46" s="124">
        <v>393</v>
      </c>
      <c r="AA46" s="144">
        <v>299.16000000000003</v>
      </c>
      <c r="AB46" s="144">
        <v>413</v>
      </c>
      <c r="AC46" s="124">
        <v>309.02999999999997</v>
      </c>
      <c r="AD46" s="124">
        <v>434</v>
      </c>
      <c r="AE46" s="124">
        <v>319.23</v>
      </c>
      <c r="AF46" s="124">
        <v>455</v>
      </c>
      <c r="AG46" s="124">
        <v>329.76</v>
      </c>
      <c r="AH46" s="124">
        <v>478</v>
      </c>
      <c r="AI46" s="124">
        <v>340.64</v>
      </c>
      <c r="AJ46" s="124">
        <v>502</v>
      </c>
      <c r="AK46" s="144">
        <v>351.89</v>
      </c>
      <c r="AL46" s="144">
        <v>527</v>
      </c>
    </row>
    <row r="47" spans="2:76" s="14" customFormat="1" ht="30" customHeight="1" outlineLevel="1" x14ac:dyDescent="0.2">
      <c r="B47" s="181"/>
      <c r="C47" s="110" t="s">
        <v>12</v>
      </c>
      <c r="D47" s="103" t="s">
        <v>19</v>
      </c>
      <c r="E47" s="103"/>
      <c r="F47" s="106">
        <v>103.1</v>
      </c>
      <c r="G47" s="105">
        <v>95</v>
      </c>
      <c r="H47" s="132">
        <v>108.2</v>
      </c>
      <c r="I47" s="132">
        <v>106.4</v>
      </c>
      <c r="J47" s="132">
        <v>103.9</v>
      </c>
      <c r="K47" s="132">
        <v>119.6</v>
      </c>
      <c r="L47" s="132">
        <v>103.9</v>
      </c>
      <c r="M47" s="124">
        <v>106</v>
      </c>
      <c r="N47" s="124">
        <v>104.1</v>
      </c>
      <c r="O47" s="144">
        <v>105.8</v>
      </c>
      <c r="P47" s="144">
        <v>105.8</v>
      </c>
      <c r="Q47" s="124">
        <v>104.5</v>
      </c>
      <c r="R47" s="124">
        <v>104.5</v>
      </c>
      <c r="S47" s="124">
        <v>104.5</v>
      </c>
      <c r="T47" s="124">
        <v>104.5</v>
      </c>
      <c r="U47" s="124">
        <v>104.5</v>
      </c>
      <c r="V47" s="124">
        <v>104.5</v>
      </c>
      <c r="W47" s="124">
        <v>104.5</v>
      </c>
      <c r="X47" s="124">
        <v>104.5</v>
      </c>
      <c r="Y47" s="124">
        <v>104.5</v>
      </c>
      <c r="Z47" s="124">
        <v>104.5</v>
      </c>
      <c r="AA47" s="144">
        <v>104.5</v>
      </c>
      <c r="AB47" s="144">
        <v>104.5</v>
      </c>
      <c r="AC47" s="124">
        <v>104.5</v>
      </c>
      <c r="AD47" s="124">
        <v>104.5</v>
      </c>
      <c r="AE47" s="124">
        <v>104.5</v>
      </c>
      <c r="AF47" s="124">
        <v>104.5</v>
      </c>
      <c r="AG47" s="124">
        <v>104.5</v>
      </c>
      <c r="AH47" s="124">
        <v>104.5</v>
      </c>
      <c r="AI47" s="124">
        <v>104.5</v>
      </c>
      <c r="AJ47" s="124">
        <v>104.5</v>
      </c>
      <c r="AK47" s="144">
        <v>104.5</v>
      </c>
      <c r="AL47" s="144">
        <v>104.5</v>
      </c>
    </row>
    <row r="48" spans="2:76" s="14" customFormat="1" ht="39" customHeight="1" outlineLevel="1" x14ac:dyDescent="0.2">
      <c r="B48" s="179">
        <f>B45+1</f>
        <v>12</v>
      </c>
      <c r="C48" s="111" t="s">
        <v>37</v>
      </c>
      <c r="D48" s="103" t="s">
        <v>5</v>
      </c>
      <c r="E48" s="103"/>
      <c r="F48" s="105">
        <f>F49/E49/F50*10000</f>
        <v>72.417383993656316</v>
      </c>
      <c r="G48" s="107">
        <f>G49/F49/G50*10000</f>
        <v>141.77032290488756</v>
      </c>
      <c r="H48" s="124">
        <f>H49/G49/H50*10000</f>
        <v>94.512398980299608</v>
      </c>
      <c r="I48" s="124">
        <f>I49/H49/I50*10000</f>
        <v>47.588806450155829</v>
      </c>
      <c r="J48" s="124">
        <f>J49/H49/J50*10000</f>
        <v>111.48144203211574</v>
      </c>
      <c r="K48" s="124">
        <f>K49/I49/K50*10000</f>
        <v>74.096556570792927</v>
      </c>
      <c r="L48" s="124">
        <f>L49/I49/L50*10000</f>
        <v>197.16981026583196</v>
      </c>
      <c r="M48" s="124">
        <f>M49/K49/M50*10000</f>
        <v>68.535538529440061</v>
      </c>
      <c r="N48" s="124">
        <f>N49/K49/N50*10000</f>
        <v>113.78860773735612</v>
      </c>
      <c r="O48" s="144">
        <f>O49/M49/O50*10000</f>
        <v>94.73503733703491</v>
      </c>
      <c r="P48" s="144">
        <f>P49/M49/P50*10000</f>
        <v>98.958398919749371</v>
      </c>
      <c r="Q48" s="124">
        <f t="shared" ref="Q48:AL48" si="41">Q49/O49/Q50*10000</f>
        <v>98.473229224762974</v>
      </c>
      <c r="R48" s="124">
        <f t="shared" si="41"/>
        <v>99.36878574310056</v>
      </c>
      <c r="S48" s="124">
        <f t="shared" si="41"/>
        <v>99.903938520653227</v>
      </c>
      <c r="T48" s="124">
        <f t="shared" si="41"/>
        <v>101.43805468335556</v>
      </c>
      <c r="U48" s="124">
        <f t="shared" si="41"/>
        <v>99.905101052738189</v>
      </c>
      <c r="V48" s="124">
        <f t="shared" si="41"/>
        <v>101.32279712019226</v>
      </c>
      <c r="W48" s="124">
        <f t="shared" si="41"/>
        <v>99.903938520653227</v>
      </c>
      <c r="X48" s="124">
        <f t="shared" si="41"/>
        <v>101.37141036595078</v>
      </c>
      <c r="Y48" s="124">
        <f t="shared" si="41"/>
        <v>99.903938520653227</v>
      </c>
      <c r="Z48" s="124">
        <f t="shared" si="41"/>
        <v>100.78831404479821</v>
      </c>
      <c r="AA48" s="144">
        <f t="shared" si="41"/>
        <v>99.903098822407188</v>
      </c>
      <c r="AB48" s="144">
        <f t="shared" si="41"/>
        <v>101.87457945853879</v>
      </c>
      <c r="AC48" s="124">
        <f t="shared" si="41"/>
        <v>99.904435387696907</v>
      </c>
      <c r="AD48" s="124">
        <f t="shared" si="41"/>
        <v>101.81694601235235</v>
      </c>
      <c r="AE48" s="124">
        <f t="shared" si="41"/>
        <v>99.904416275049897</v>
      </c>
      <c r="AF48" s="124">
        <f t="shared" si="41"/>
        <v>101.87946934759647</v>
      </c>
      <c r="AG48" s="124">
        <f t="shared" si="41"/>
        <v>99.903019766591683</v>
      </c>
      <c r="AH48" s="124">
        <f t="shared" si="41"/>
        <v>101.79103458700878</v>
      </c>
      <c r="AI48" s="124">
        <f t="shared" si="41"/>
        <v>99.904380233398825</v>
      </c>
      <c r="AJ48" s="124">
        <f t="shared" si="41"/>
        <v>101.81366373880481</v>
      </c>
      <c r="AK48" s="144">
        <f t="shared" si="41"/>
        <v>99.903885430413737</v>
      </c>
      <c r="AL48" s="144">
        <f t="shared" si="41"/>
        <v>101.81431370314291</v>
      </c>
    </row>
    <row r="49" spans="2:59" s="14" customFormat="1" ht="28.5" customHeight="1" outlineLevel="1" x14ac:dyDescent="0.2">
      <c r="B49" s="180"/>
      <c r="C49" s="110" t="s">
        <v>61</v>
      </c>
      <c r="D49" s="103" t="s">
        <v>26</v>
      </c>
      <c r="E49" s="103">
        <v>1495.3</v>
      </c>
      <c r="F49" s="105">
        <v>1137</v>
      </c>
      <c r="G49" s="105">
        <v>1579.69</v>
      </c>
      <c r="H49" s="124">
        <v>1536.3</v>
      </c>
      <c r="I49" s="124">
        <v>759.62</v>
      </c>
      <c r="J49" s="124">
        <v>1808.6</v>
      </c>
      <c r="K49" s="124">
        <v>659.1</v>
      </c>
      <c r="L49" s="124">
        <v>1551.66</v>
      </c>
      <c r="M49" s="124">
        <v>486.5</v>
      </c>
      <c r="N49" s="124">
        <v>777.73</v>
      </c>
      <c r="O49" s="144">
        <v>489</v>
      </c>
      <c r="P49" s="144">
        <v>510.8</v>
      </c>
      <c r="Q49" s="124">
        <v>508.5</v>
      </c>
      <c r="R49" s="123">
        <v>536</v>
      </c>
      <c r="S49" s="124">
        <v>528.84</v>
      </c>
      <c r="T49" s="123">
        <v>566</v>
      </c>
      <c r="U49" s="124">
        <v>550</v>
      </c>
      <c r="V49" s="123">
        <v>597</v>
      </c>
      <c r="W49" s="124">
        <v>572</v>
      </c>
      <c r="X49" s="123">
        <v>630</v>
      </c>
      <c r="Y49" s="124">
        <v>594.88</v>
      </c>
      <c r="Z49" s="123">
        <v>661</v>
      </c>
      <c r="AA49" s="144">
        <v>618.66999999999996</v>
      </c>
      <c r="AB49" s="151">
        <v>701</v>
      </c>
      <c r="AC49" s="124">
        <v>643.41999999999996</v>
      </c>
      <c r="AD49" s="123">
        <v>743</v>
      </c>
      <c r="AE49" s="150">
        <v>669.16</v>
      </c>
      <c r="AF49" s="123">
        <v>788</v>
      </c>
      <c r="AG49" s="150">
        <v>695.92</v>
      </c>
      <c r="AH49" s="123">
        <v>835</v>
      </c>
      <c r="AI49" s="150">
        <v>723.76</v>
      </c>
      <c r="AJ49" s="123">
        <v>885</v>
      </c>
      <c r="AK49" s="149">
        <v>752.71</v>
      </c>
      <c r="AL49" s="151">
        <v>938</v>
      </c>
    </row>
    <row r="50" spans="2:59" s="14" customFormat="1" ht="33" customHeight="1" outlineLevel="1" x14ac:dyDescent="0.2">
      <c r="B50" s="181"/>
      <c r="C50" s="110" t="s">
        <v>12</v>
      </c>
      <c r="D50" s="103" t="s">
        <v>19</v>
      </c>
      <c r="E50" s="103"/>
      <c r="F50" s="106">
        <v>105</v>
      </c>
      <c r="G50" s="105">
        <v>98</v>
      </c>
      <c r="H50" s="132">
        <v>102.9</v>
      </c>
      <c r="I50" s="132">
        <v>103.9</v>
      </c>
      <c r="J50" s="132">
        <v>105.6</v>
      </c>
      <c r="K50" s="132">
        <v>117.1</v>
      </c>
      <c r="L50" s="132">
        <v>103.6</v>
      </c>
      <c r="M50" s="124">
        <v>107.7</v>
      </c>
      <c r="N50" s="124">
        <v>103.7</v>
      </c>
      <c r="O50" s="144">
        <v>106.1</v>
      </c>
      <c r="P50" s="151">
        <v>106.1</v>
      </c>
      <c r="Q50" s="124">
        <v>105.6</v>
      </c>
      <c r="R50" s="124">
        <v>105.6</v>
      </c>
      <c r="S50" s="124">
        <v>104.1</v>
      </c>
      <c r="T50" s="123">
        <v>104.1</v>
      </c>
      <c r="U50" s="124">
        <v>104.1</v>
      </c>
      <c r="V50" s="124">
        <v>104.1</v>
      </c>
      <c r="W50" s="124">
        <v>104.1</v>
      </c>
      <c r="X50" s="123">
        <v>104.1</v>
      </c>
      <c r="Y50" s="124">
        <v>104.1</v>
      </c>
      <c r="Z50" s="124">
        <v>104.1</v>
      </c>
      <c r="AA50" s="124">
        <v>104.1</v>
      </c>
      <c r="AB50" s="123">
        <v>104.1</v>
      </c>
      <c r="AC50" s="124">
        <v>104.1</v>
      </c>
      <c r="AD50" s="124">
        <v>104.1</v>
      </c>
      <c r="AE50" s="124">
        <v>104.1</v>
      </c>
      <c r="AF50" s="123">
        <v>104.1</v>
      </c>
      <c r="AG50" s="124">
        <v>104.1</v>
      </c>
      <c r="AH50" s="124">
        <v>104.1</v>
      </c>
      <c r="AI50" s="124">
        <v>104.1</v>
      </c>
      <c r="AJ50" s="123">
        <v>104.1</v>
      </c>
      <c r="AK50" s="124">
        <v>104.1</v>
      </c>
      <c r="AL50" s="124">
        <v>104.1</v>
      </c>
      <c r="AM50" s="116"/>
      <c r="AN50" s="117"/>
    </row>
    <row r="51" spans="2:59" s="14" customFormat="1" ht="39" customHeight="1" outlineLevel="1" x14ac:dyDescent="0.2">
      <c r="B51" s="179">
        <f t="shared" ref="B51:B54" si="42">B48+1</f>
        <v>13</v>
      </c>
      <c r="C51" s="109" t="s">
        <v>38</v>
      </c>
      <c r="D51" s="103" t="s">
        <v>5</v>
      </c>
      <c r="E51" s="103"/>
      <c r="F51" s="105">
        <f>F52/E52/F53*10000</f>
        <v>99.125889880147781</v>
      </c>
      <c r="G51" s="107">
        <f>G52/F52/G53*10000</f>
        <v>103.95216615020502</v>
      </c>
      <c r="H51" s="124">
        <f>H52/G52/H53*10000</f>
        <v>97.087378640776691</v>
      </c>
      <c r="I51" s="124">
        <f>I52/H52/I53*10000</f>
        <v>101.94251323979246</v>
      </c>
      <c r="J51" s="124">
        <f>J52/H52/J53*10000</f>
        <v>115.46955482119446</v>
      </c>
      <c r="K51" s="124">
        <f>K52/I52/K53*10000</f>
        <v>105.21396569105514</v>
      </c>
      <c r="L51" s="124">
        <f>L52/I52/L53*10000</f>
        <v>104.44002177211649</v>
      </c>
      <c r="M51" s="124">
        <f>M52/K52/M53*10000</f>
        <v>93.356751725184722</v>
      </c>
      <c r="N51" s="124">
        <f>N52/K52/N53*10000</f>
        <v>98.71205696731667</v>
      </c>
      <c r="O51" s="144">
        <f>O52/M52/O53*10000</f>
        <v>98.76411128149654</v>
      </c>
      <c r="P51" s="144">
        <f>P52/M52/P53*10000</f>
        <v>102.59117931811485</v>
      </c>
      <c r="Q51" s="124">
        <f t="shared" ref="Q51:AL51" si="43">Q52/O52/Q53*10000</f>
        <v>100.28812959093771</v>
      </c>
      <c r="R51" s="124">
        <f t="shared" si="43"/>
        <v>118.49645563531864</v>
      </c>
      <c r="S51" s="124">
        <f t="shared" si="43"/>
        <v>100.77831678477206</v>
      </c>
      <c r="T51" s="124">
        <f t="shared" si="43"/>
        <v>104.18639654660139</v>
      </c>
      <c r="U51" s="124">
        <f t="shared" si="43"/>
        <v>100.77994142763147</v>
      </c>
      <c r="V51" s="124">
        <f t="shared" si="43"/>
        <v>104.18676342005121</v>
      </c>
      <c r="W51" s="124">
        <f t="shared" si="43"/>
        <v>100.77750627536784</v>
      </c>
      <c r="X51" s="124">
        <f t="shared" si="43"/>
        <v>104.18657719888891</v>
      </c>
      <c r="Y51" s="124">
        <f t="shared" si="43"/>
        <v>100.77980679046559</v>
      </c>
      <c r="Z51" s="124">
        <f t="shared" si="43"/>
        <v>104.18612745989581</v>
      </c>
      <c r="AA51" s="144">
        <f t="shared" si="43"/>
        <v>100.77798170233898</v>
      </c>
      <c r="AB51" s="144">
        <f t="shared" si="43"/>
        <v>104.18743408427673</v>
      </c>
      <c r="AC51" s="124">
        <f t="shared" si="43"/>
        <v>100.78027310864044</v>
      </c>
      <c r="AD51" s="124">
        <f t="shared" si="43"/>
        <v>104.18633991475112</v>
      </c>
      <c r="AE51" s="124">
        <f t="shared" si="43"/>
        <v>100.77843821139446</v>
      </c>
      <c r="AF51" s="124">
        <f>AF52/AD52/AF53*10000</f>
        <v>104.18826524619425</v>
      </c>
      <c r="AG51" s="124">
        <f t="shared" si="43"/>
        <v>100.78019849917044</v>
      </c>
      <c r="AH51" s="124">
        <f>AH52/AF52/AH53*10000</f>
        <v>104.18581962846493</v>
      </c>
      <c r="AI51" s="124">
        <f t="shared" si="43"/>
        <v>100.7778848166908</v>
      </c>
      <c r="AJ51" s="124">
        <f t="shared" si="43"/>
        <v>104.18701109777506</v>
      </c>
      <c r="AK51" s="144">
        <f t="shared" si="43"/>
        <v>100.77872900690538</v>
      </c>
      <c r="AL51" s="144">
        <f t="shared" si="43"/>
        <v>104.18766679645067</v>
      </c>
    </row>
    <row r="52" spans="2:59" s="14" customFormat="1" ht="25.5" customHeight="1" outlineLevel="1" x14ac:dyDescent="0.3">
      <c r="B52" s="180"/>
      <c r="C52" s="110" t="s">
        <v>61</v>
      </c>
      <c r="D52" s="103" t="s">
        <v>26</v>
      </c>
      <c r="E52" s="103">
        <v>221.94</v>
      </c>
      <c r="F52" s="105">
        <v>228.58</v>
      </c>
      <c r="G52" s="105">
        <v>239.99</v>
      </c>
      <c r="H52" s="124">
        <v>239.99</v>
      </c>
      <c r="I52" s="124">
        <v>252.97</v>
      </c>
      <c r="J52" s="124">
        <v>288.2</v>
      </c>
      <c r="K52" s="124">
        <v>276.54000000000002</v>
      </c>
      <c r="L52" s="124">
        <v>274.77</v>
      </c>
      <c r="M52" s="124">
        <v>287.60000000000002</v>
      </c>
      <c r="N52" s="124">
        <v>289.63</v>
      </c>
      <c r="O52" s="144">
        <v>299.10000000000002</v>
      </c>
      <c r="P52" s="144">
        <v>310.69</v>
      </c>
      <c r="Q52" s="124">
        <v>314.06</v>
      </c>
      <c r="R52" s="123">
        <v>385.46</v>
      </c>
      <c r="S52" s="124">
        <v>325.05</v>
      </c>
      <c r="T52" s="123">
        <v>412.44</v>
      </c>
      <c r="U52" s="124">
        <v>336.43</v>
      </c>
      <c r="V52" s="123">
        <v>441.31</v>
      </c>
      <c r="W52" s="124">
        <v>348.2</v>
      </c>
      <c r="X52" s="123">
        <v>472.2</v>
      </c>
      <c r="Y52" s="124">
        <v>360.39</v>
      </c>
      <c r="Z52" s="123">
        <v>505.25</v>
      </c>
      <c r="AA52" s="144">
        <v>373</v>
      </c>
      <c r="AB52" s="151">
        <v>540.62</v>
      </c>
      <c r="AC52" s="124">
        <v>386.06</v>
      </c>
      <c r="AD52" s="123">
        <v>578.46</v>
      </c>
      <c r="AE52" s="123">
        <v>399.57</v>
      </c>
      <c r="AF52" s="123">
        <v>618.96</v>
      </c>
      <c r="AG52" s="123">
        <v>413.56</v>
      </c>
      <c r="AH52" s="123">
        <v>662.28</v>
      </c>
      <c r="AI52" s="123">
        <v>428.03</v>
      </c>
      <c r="AJ52" s="123">
        <v>708.64</v>
      </c>
      <c r="AK52" s="151">
        <v>443.01</v>
      </c>
      <c r="AL52" s="151">
        <v>758.25</v>
      </c>
      <c r="AP52" s="91"/>
      <c r="AQ52" s="91"/>
      <c r="AR52" s="91"/>
      <c r="AS52" s="91"/>
      <c r="AT52" s="91"/>
      <c r="AU52" s="91"/>
      <c r="AV52" s="91"/>
      <c r="AW52" s="91"/>
      <c r="AX52" s="91"/>
      <c r="AY52" s="91"/>
      <c r="AZ52" s="91"/>
      <c r="BA52" s="91"/>
      <c r="BB52" s="91"/>
      <c r="BC52" s="91"/>
      <c r="BD52" s="91"/>
      <c r="BE52" s="91"/>
      <c r="BF52" s="91"/>
      <c r="BG52" s="91"/>
    </row>
    <row r="53" spans="2:59" s="14" customFormat="1" ht="36" customHeight="1" outlineLevel="1" x14ac:dyDescent="0.2">
      <c r="B53" s="181"/>
      <c r="C53" s="110" t="s">
        <v>12</v>
      </c>
      <c r="D53" s="103" t="s">
        <v>19</v>
      </c>
      <c r="E53" s="103"/>
      <c r="F53" s="105">
        <v>103.9</v>
      </c>
      <c r="G53" s="105">
        <v>101</v>
      </c>
      <c r="H53" s="124">
        <v>103</v>
      </c>
      <c r="I53" s="124">
        <v>103.4</v>
      </c>
      <c r="J53" s="124">
        <v>104</v>
      </c>
      <c r="K53" s="124">
        <v>103.9</v>
      </c>
      <c r="L53" s="124">
        <v>104</v>
      </c>
      <c r="M53" s="124">
        <v>111.4</v>
      </c>
      <c r="N53" s="124">
        <v>106.1</v>
      </c>
      <c r="O53" s="144">
        <v>105.3</v>
      </c>
      <c r="P53" s="151">
        <v>105.3</v>
      </c>
      <c r="Q53" s="124">
        <v>104.7</v>
      </c>
      <c r="R53" s="124">
        <v>104.7</v>
      </c>
      <c r="S53" s="124">
        <v>102.7</v>
      </c>
      <c r="T53" s="124">
        <v>102.7</v>
      </c>
      <c r="U53" s="124">
        <v>102.7</v>
      </c>
      <c r="V53" s="124">
        <v>102.7</v>
      </c>
      <c r="W53" s="124">
        <v>102.7</v>
      </c>
      <c r="X53" s="123">
        <v>102.7</v>
      </c>
      <c r="Y53" s="124">
        <v>102.7</v>
      </c>
      <c r="Z53" s="124">
        <v>102.7</v>
      </c>
      <c r="AA53" s="144">
        <v>102.7</v>
      </c>
      <c r="AB53" s="144">
        <v>102.7</v>
      </c>
      <c r="AC53" s="124">
        <v>102.7</v>
      </c>
      <c r="AD53" s="124">
        <v>102.7</v>
      </c>
      <c r="AE53" s="124">
        <v>102.7</v>
      </c>
      <c r="AF53" s="123">
        <v>102.7</v>
      </c>
      <c r="AG53" s="124">
        <v>102.7</v>
      </c>
      <c r="AH53" s="124">
        <v>102.7</v>
      </c>
      <c r="AI53" s="124">
        <v>102.7</v>
      </c>
      <c r="AJ53" s="124">
        <v>102.7</v>
      </c>
      <c r="AK53" s="144">
        <v>102.7</v>
      </c>
      <c r="AL53" s="151">
        <v>102.7</v>
      </c>
    </row>
    <row r="54" spans="2:59" s="14" customFormat="1" ht="63" customHeight="1" outlineLevel="1" x14ac:dyDescent="0.2">
      <c r="B54" s="179">
        <f t="shared" si="42"/>
        <v>14</v>
      </c>
      <c r="C54" s="109" t="s">
        <v>39</v>
      </c>
      <c r="D54" s="103" t="s">
        <v>5</v>
      </c>
      <c r="E54" s="103"/>
      <c r="F54" s="105">
        <f>F55/E55/F56*10000</f>
        <v>93.548176613095393</v>
      </c>
      <c r="G54" s="105">
        <f>G55/F55/G56*10000</f>
        <v>104.68408277591695</v>
      </c>
      <c r="H54" s="124">
        <f>H55/G55/H56*10000</f>
        <v>85.470085470085479</v>
      </c>
      <c r="I54" s="124">
        <f>I55/H55/I56*10000</f>
        <v>96.785716033253564</v>
      </c>
      <c r="J54" s="124">
        <f>J55/H55/J56*10000</f>
        <v>115.45293072824157</v>
      </c>
      <c r="K54" s="124">
        <f>K55/I55/K56*10000</f>
        <v>80.704564074627896</v>
      </c>
      <c r="L54" s="124">
        <f>L55/I55/L56*10000</f>
        <v>104.4340307484898</v>
      </c>
      <c r="M54" s="124">
        <f>M55/K55/M56*10000</f>
        <v>95.93717863408142</v>
      </c>
      <c r="N54" s="124">
        <f>N55/K55/N56*10000</f>
        <v>133.86664564943254</v>
      </c>
      <c r="O54" s="144">
        <f t="shared" ref="O54:AL54" si="44">O55/M55/O56*10000</f>
        <v>99.712368168744007</v>
      </c>
      <c r="P54" s="144">
        <f>P55/M55/P56*10000</f>
        <v>103.58524340076231</v>
      </c>
      <c r="Q54" s="124">
        <f>Q55/O55/Q56*10000</f>
        <v>99.058391185912313</v>
      </c>
      <c r="R54" s="124">
        <f t="shared" si="44"/>
        <v>117.03412606375107</v>
      </c>
      <c r="S54" s="124">
        <f t="shared" si="44"/>
        <v>99.043580211313696</v>
      </c>
      <c r="T54" s="124">
        <f t="shared" si="44"/>
        <v>102.39037491084103</v>
      </c>
      <c r="U54" s="124">
        <f t="shared" si="44"/>
        <v>99.047066124802313</v>
      </c>
      <c r="V54" s="124">
        <f t="shared" si="44"/>
        <v>102.39944461318176</v>
      </c>
      <c r="W54" s="124">
        <f t="shared" si="44"/>
        <v>99.046366432872134</v>
      </c>
      <c r="X54" s="124">
        <f t="shared" si="44"/>
        <v>102.39037852370106</v>
      </c>
      <c r="Y54" s="124">
        <f t="shared" si="44"/>
        <v>99.041894254090735</v>
      </c>
      <c r="Z54" s="124">
        <f t="shared" si="44"/>
        <v>102.38878454659718</v>
      </c>
      <c r="AA54" s="144">
        <f t="shared" si="44"/>
        <v>99.049080677680465</v>
      </c>
      <c r="AB54" s="144">
        <f t="shared" si="44"/>
        <v>102.39105655978929</v>
      </c>
      <c r="AC54" s="124">
        <f t="shared" si="44"/>
        <v>99.037174918432044</v>
      </c>
      <c r="AD54" s="124">
        <f t="shared" si="44"/>
        <v>102.3943506565155</v>
      </c>
      <c r="AE54" s="124">
        <f t="shared" si="44"/>
        <v>99.036671379019978</v>
      </c>
      <c r="AF54" s="124">
        <f t="shared" si="44"/>
        <v>102.3964692295001</v>
      </c>
      <c r="AG54" s="124">
        <f t="shared" si="44"/>
        <v>99.045980108016849</v>
      </c>
      <c r="AH54" s="124">
        <f t="shared" si="44"/>
        <v>102.38700043409565</v>
      </c>
      <c r="AI54" s="124">
        <f t="shared" si="44"/>
        <v>99.037423899318298</v>
      </c>
      <c r="AJ54" s="124">
        <f t="shared" si="44"/>
        <v>102.39160757280304</v>
      </c>
      <c r="AK54" s="144">
        <f t="shared" si="44"/>
        <v>99.05123411781625</v>
      </c>
      <c r="AL54" s="144">
        <f t="shared" si="44"/>
        <v>102.39731858452792</v>
      </c>
    </row>
    <row r="55" spans="2:59" s="14" customFormat="1" ht="30.75" customHeight="1" outlineLevel="1" x14ac:dyDescent="0.2">
      <c r="B55" s="180"/>
      <c r="C55" s="110" t="s">
        <v>61</v>
      </c>
      <c r="D55" s="103" t="s">
        <v>26</v>
      </c>
      <c r="E55" s="103">
        <v>52.06</v>
      </c>
      <c r="F55" s="105">
        <v>53.62</v>
      </c>
      <c r="G55" s="105">
        <v>56.3</v>
      </c>
      <c r="H55" s="124">
        <v>56.3</v>
      </c>
      <c r="I55" s="128">
        <v>59.34</v>
      </c>
      <c r="J55" s="127">
        <v>67.599999999999994</v>
      </c>
      <c r="K55" s="128">
        <v>48.8</v>
      </c>
      <c r="L55" s="128">
        <v>64.45</v>
      </c>
      <c r="M55" s="128">
        <v>50.75</v>
      </c>
      <c r="N55" s="128">
        <v>67.94</v>
      </c>
      <c r="O55" s="128">
        <v>52.78</v>
      </c>
      <c r="P55" s="128">
        <v>54.83</v>
      </c>
      <c r="Q55" s="124">
        <v>55.42</v>
      </c>
      <c r="R55" s="124">
        <v>68.02</v>
      </c>
      <c r="S55" s="124">
        <v>57.36</v>
      </c>
      <c r="T55" s="124">
        <v>72.78</v>
      </c>
      <c r="U55" s="124">
        <v>59.37</v>
      </c>
      <c r="V55" s="124">
        <v>77.88</v>
      </c>
      <c r="W55" s="124">
        <v>61.45</v>
      </c>
      <c r="X55" s="124">
        <v>83.33</v>
      </c>
      <c r="Y55" s="124">
        <v>63.6</v>
      </c>
      <c r="Z55" s="124">
        <v>89.16</v>
      </c>
      <c r="AA55" s="144">
        <v>65.83</v>
      </c>
      <c r="AB55" s="144">
        <v>95.4</v>
      </c>
      <c r="AC55" s="124">
        <v>68.13</v>
      </c>
      <c r="AD55" s="124">
        <v>102.08</v>
      </c>
      <c r="AE55" s="124">
        <v>70.510000000000005</v>
      </c>
      <c r="AF55" s="124">
        <v>109.23</v>
      </c>
      <c r="AG55" s="124">
        <v>72.98</v>
      </c>
      <c r="AH55" s="124">
        <v>116.87</v>
      </c>
      <c r="AI55" s="124">
        <v>75.53</v>
      </c>
      <c r="AJ55" s="124">
        <v>125.05</v>
      </c>
      <c r="AK55" s="144">
        <v>78.180000000000007</v>
      </c>
      <c r="AL55" s="144">
        <v>133.81</v>
      </c>
    </row>
    <row r="56" spans="2:59" s="14" customFormat="1" ht="26.25" customHeight="1" outlineLevel="1" x14ac:dyDescent="0.2">
      <c r="B56" s="181"/>
      <c r="C56" s="110" t="s">
        <v>12</v>
      </c>
      <c r="D56" s="103" t="s">
        <v>19</v>
      </c>
      <c r="E56" s="103"/>
      <c r="F56" s="106">
        <v>110.1</v>
      </c>
      <c r="G56" s="106">
        <v>100.3</v>
      </c>
      <c r="H56" s="124">
        <v>117</v>
      </c>
      <c r="I56" s="124">
        <v>108.9</v>
      </c>
      <c r="J56" s="124">
        <v>104</v>
      </c>
      <c r="K56" s="124">
        <v>101.9</v>
      </c>
      <c r="L56" s="124">
        <v>104</v>
      </c>
      <c r="M56" s="124">
        <v>108.4</v>
      </c>
      <c r="N56" s="124">
        <v>104</v>
      </c>
      <c r="O56" s="144">
        <v>104.3</v>
      </c>
      <c r="P56" s="144">
        <v>104.3</v>
      </c>
      <c r="Q56" s="124">
        <v>106</v>
      </c>
      <c r="R56" s="124">
        <v>106</v>
      </c>
      <c r="S56" s="124">
        <v>104.5</v>
      </c>
      <c r="T56" s="124">
        <v>104.5</v>
      </c>
      <c r="U56" s="124">
        <v>104.5</v>
      </c>
      <c r="V56" s="124">
        <v>104.5</v>
      </c>
      <c r="W56" s="124">
        <v>104.5</v>
      </c>
      <c r="X56" s="124">
        <v>104.5</v>
      </c>
      <c r="Y56" s="124">
        <v>104.5</v>
      </c>
      <c r="Z56" s="124">
        <v>104.5</v>
      </c>
      <c r="AA56" s="144">
        <v>104.5</v>
      </c>
      <c r="AB56" s="144">
        <v>104.5</v>
      </c>
      <c r="AC56" s="124">
        <v>104.5</v>
      </c>
      <c r="AD56" s="124">
        <v>104.5</v>
      </c>
      <c r="AE56" s="124">
        <v>104.5</v>
      </c>
      <c r="AF56" s="124">
        <v>104.5</v>
      </c>
      <c r="AG56" s="124">
        <v>104.5</v>
      </c>
      <c r="AH56" s="124">
        <v>104.5</v>
      </c>
      <c r="AI56" s="124">
        <v>104.5</v>
      </c>
      <c r="AJ56" s="124">
        <v>104.5</v>
      </c>
      <c r="AK56" s="144">
        <v>104.5</v>
      </c>
      <c r="AL56" s="144">
        <v>104.5</v>
      </c>
    </row>
    <row r="57" spans="2:59" ht="19.5" outlineLevel="1" x14ac:dyDescent="0.3">
      <c r="B57" s="43" t="s">
        <v>56</v>
      </c>
      <c r="C57" s="42" t="s">
        <v>51</v>
      </c>
      <c r="D57" s="40"/>
      <c r="E57" s="40"/>
      <c r="F57" s="38"/>
      <c r="G57" s="38"/>
      <c r="H57" s="38"/>
      <c r="I57" s="39"/>
      <c r="J57" s="39"/>
      <c r="K57" s="39"/>
      <c r="L57" s="39"/>
      <c r="M57" s="39"/>
      <c r="N57" s="39"/>
      <c r="O57" s="66"/>
      <c r="P57" s="66"/>
      <c r="Q57" s="112"/>
      <c r="R57" s="112"/>
      <c r="S57" s="112"/>
      <c r="T57" s="112"/>
      <c r="U57" s="112"/>
      <c r="V57" s="112"/>
      <c r="W57" s="112"/>
      <c r="X57" s="112"/>
      <c r="Y57" s="112"/>
      <c r="Z57" s="112"/>
      <c r="AA57" s="113"/>
      <c r="AB57" s="113"/>
      <c r="AC57" s="112"/>
      <c r="AD57" s="114"/>
      <c r="AE57" s="114"/>
      <c r="AF57" s="114"/>
      <c r="AG57" s="114"/>
      <c r="AH57" s="114"/>
      <c r="AI57" s="114"/>
      <c r="AJ57" s="114"/>
      <c r="AK57" s="115"/>
      <c r="AL57" s="115"/>
    </row>
    <row r="58" spans="2:59" ht="18.75" outlineLevel="1" x14ac:dyDescent="0.2">
      <c r="B58" s="10">
        <f>B54+1</f>
        <v>15</v>
      </c>
      <c r="C58" s="6" t="s">
        <v>1</v>
      </c>
      <c r="D58" s="10" t="s">
        <v>2</v>
      </c>
      <c r="E58" s="10">
        <v>2702</v>
      </c>
      <c r="F58" s="18">
        <v>2983</v>
      </c>
      <c r="G58" s="18">
        <v>3108</v>
      </c>
      <c r="H58" s="125">
        <v>3718.8</v>
      </c>
      <c r="I58" s="32">
        <v>4592</v>
      </c>
      <c r="J58" s="128">
        <v>3492</v>
      </c>
      <c r="K58" s="32">
        <v>4667</v>
      </c>
      <c r="L58" s="128">
        <v>4178</v>
      </c>
      <c r="M58" s="32">
        <v>4714</v>
      </c>
      <c r="N58" s="128">
        <v>5439</v>
      </c>
      <c r="O58" s="49">
        <v>4808</v>
      </c>
      <c r="P58" s="152">
        <v>5145</v>
      </c>
      <c r="Q58" s="32">
        <v>4856</v>
      </c>
      <c r="R58" s="128">
        <v>5403</v>
      </c>
      <c r="S58" s="32">
        <v>4905</v>
      </c>
      <c r="T58" s="128">
        <v>5673</v>
      </c>
      <c r="U58" s="32">
        <v>4954</v>
      </c>
      <c r="V58" s="128">
        <v>5956</v>
      </c>
      <c r="W58" s="32">
        <v>5003</v>
      </c>
      <c r="X58" s="128">
        <v>6254</v>
      </c>
      <c r="Y58" s="32">
        <v>5053</v>
      </c>
      <c r="Z58" s="128">
        <v>6567</v>
      </c>
      <c r="AA58" s="49">
        <v>5205</v>
      </c>
      <c r="AB58" s="152">
        <v>6895</v>
      </c>
      <c r="AC58" s="32">
        <v>5361</v>
      </c>
      <c r="AD58" s="128">
        <v>7240</v>
      </c>
      <c r="AE58" s="128">
        <v>5522</v>
      </c>
      <c r="AF58" s="128">
        <v>7602</v>
      </c>
      <c r="AG58" s="128">
        <v>5687</v>
      </c>
      <c r="AH58" s="128">
        <v>7982</v>
      </c>
      <c r="AI58" s="128">
        <v>5858</v>
      </c>
      <c r="AJ58" s="128">
        <v>8381</v>
      </c>
      <c r="AK58" s="152">
        <v>6034</v>
      </c>
      <c r="AL58" s="152">
        <v>8800</v>
      </c>
    </row>
    <row r="59" spans="2:59" ht="42" customHeight="1" outlineLevel="1" x14ac:dyDescent="0.2">
      <c r="B59" s="9">
        <f>B58+1</f>
        <v>16</v>
      </c>
      <c r="C59" s="5" t="s">
        <v>3</v>
      </c>
      <c r="D59" s="4" t="s">
        <v>5</v>
      </c>
      <c r="E59" s="4"/>
      <c r="F59" s="18">
        <f>F58/E58/F60*10000</f>
        <v>109.74125638471173</v>
      </c>
      <c r="G59" s="18">
        <f>G58/F58/G60*10000</f>
        <v>98.107732896962247</v>
      </c>
      <c r="H59" s="125">
        <f>H58/G58/H60*10000</f>
        <v>115.2721672952887</v>
      </c>
      <c r="I59" s="153">
        <f>I58/H58/I60*10000</f>
        <v>112.56216289568712</v>
      </c>
      <c r="J59" s="125">
        <f>J58/H58/J60*10000</f>
        <v>90.463640144965652</v>
      </c>
      <c r="K59" s="125">
        <f>K58/I58/K60*10000</f>
        <v>97.536732496472212</v>
      </c>
      <c r="L59" s="125">
        <f>L58/I58/L60*10000</f>
        <v>88.248613537818912</v>
      </c>
      <c r="M59" s="125">
        <f>M58/K58/M60*10000</f>
        <v>100.30493636892301</v>
      </c>
      <c r="N59" s="125">
        <f>N58/K58/N60*10000</f>
        <v>109.94497697603809</v>
      </c>
      <c r="O59" s="125">
        <f>O58/M58/O60*10000</f>
        <v>95.410720529537429</v>
      </c>
      <c r="P59" s="125">
        <f>P58/M58/P60*10000</f>
        <v>102.09820239693636</v>
      </c>
      <c r="Q59" s="125">
        <f t="shared" ref="Q59:AL59" si="45">Q58/O58/Q60*10000</f>
        <v>96.927385898742003</v>
      </c>
      <c r="R59" s="125">
        <f t="shared" si="45"/>
        <v>100.78174401101269</v>
      </c>
      <c r="S59" s="125">
        <f t="shared" si="45"/>
        <v>97.030798228164201</v>
      </c>
      <c r="T59" s="125">
        <f t="shared" si="45"/>
        <v>100.86188642130185</v>
      </c>
      <c r="U59" s="125">
        <f t="shared" si="45"/>
        <v>97.021114920276815</v>
      </c>
      <c r="V59" s="125">
        <f t="shared" si="45"/>
        <v>100.85354679877194</v>
      </c>
      <c r="W59" s="125">
        <f t="shared" si="45"/>
        <v>97.011623167531312</v>
      </c>
      <c r="X59" s="125">
        <f t="shared" si="45"/>
        <v>100.86777901859877</v>
      </c>
      <c r="Y59" s="125">
        <f t="shared" si="45"/>
        <v>97.021518116987636</v>
      </c>
      <c r="Z59" s="125">
        <f t="shared" si="45"/>
        <v>100.86916131600847</v>
      </c>
      <c r="AA59" s="125">
        <f t="shared" si="45"/>
        <v>98.951118147635071</v>
      </c>
      <c r="AB59" s="125">
        <f t="shared" si="45"/>
        <v>100.85943354592075</v>
      </c>
      <c r="AC59" s="125">
        <f t="shared" si="45"/>
        <v>98.940555384841119</v>
      </c>
      <c r="AD59" s="125">
        <f t="shared" si="45"/>
        <v>100.86803632642513</v>
      </c>
      <c r="AE59" s="125">
        <f t="shared" si="45"/>
        <v>98.946369884896441</v>
      </c>
      <c r="AF59" s="125">
        <f t="shared" si="45"/>
        <v>100.86455331412105</v>
      </c>
      <c r="AG59" s="125">
        <f t="shared" si="45"/>
        <v>98.931842275470643</v>
      </c>
      <c r="AH59" s="125">
        <f t="shared" si="45"/>
        <v>100.86328967982288</v>
      </c>
      <c r="AI59" s="125">
        <f t="shared" si="45"/>
        <v>98.949911379189132</v>
      </c>
      <c r="AJ59" s="125">
        <f t="shared" si="45"/>
        <v>100.8633498378075</v>
      </c>
      <c r="AK59" s="125">
        <f t="shared" si="45"/>
        <v>98.947587295746374</v>
      </c>
      <c r="AL59" s="154">
        <f t="shared" si="45"/>
        <v>100.86398022332433</v>
      </c>
    </row>
    <row r="60" spans="2:59" ht="24" customHeight="1" outlineLevel="1" x14ac:dyDescent="0.2">
      <c r="B60" s="9">
        <f t="shared" ref="B60" si="46">B59+1</f>
        <v>17</v>
      </c>
      <c r="C60" s="5" t="s">
        <v>40</v>
      </c>
      <c r="D60" s="4" t="s">
        <v>31</v>
      </c>
      <c r="E60" s="4"/>
      <c r="F60" s="41">
        <v>100.6</v>
      </c>
      <c r="G60" s="41">
        <v>106.2</v>
      </c>
      <c r="H60" s="126">
        <v>103.8</v>
      </c>
      <c r="I60" s="126">
        <v>109.7</v>
      </c>
      <c r="J60" s="126">
        <v>103.8</v>
      </c>
      <c r="K60" s="126">
        <v>104.2</v>
      </c>
      <c r="L60" s="126">
        <v>103.1</v>
      </c>
      <c r="M60" s="125">
        <v>100.7</v>
      </c>
      <c r="N60" s="125">
        <v>106</v>
      </c>
      <c r="O60" s="154">
        <v>106.9</v>
      </c>
      <c r="P60" s="154">
        <v>106.9</v>
      </c>
      <c r="Q60" s="125">
        <v>104.2</v>
      </c>
      <c r="R60" s="125">
        <v>104.2</v>
      </c>
      <c r="S60" s="125">
        <v>104.1</v>
      </c>
      <c r="T60" s="125">
        <v>104.1</v>
      </c>
      <c r="U60" s="125">
        <v>104.1</v>
      </c>
      <c r="V60" s="125">
        <v>104.1</v>
      </c>
      <c r="W60" s="125">
        <v>104.1</v>
      </c>
      <c r="X60" s="125">
        <v>104.1</v>
      </c>
      <c r="Y60" s="125">
        <v>104.1</v>
      </c>
      <c r="Z60" s="125">
        <v>104.1</v>
      </c>
      <c r="AA60" s="125">
        <v>104.1</v>
      </c>
      <c r="AB60" s="125">
        <v>104.1</v>
      </c>
      <c r="AC60" s="125">
        <v>104.1</v>
      </c>
      <c r="AD60" s="125">
        <v>104.1</v>
      </c>
      <c r="AE60" s="125">
        <v>104.1</v>
      </c>
      <c r="AF60" s="125">
        <v>104.1</v>
      </c>
      <c r="AG60" s="125">
        <v>104.1</v>
      </c>
      <c r="AH60" s="125">
        <v>104.1</v>
      </c>
      <c r="AI60" s="125">
        <v>104.1</v>
      </c>
      <c r="AJ60" s="125">
        <v>104.1</v>
      </c>
      <c r="AK60" s="154">
        <v>104.1</v>
      </c>
      <c r="AL60" s="154">
        <v>104.1</v>
      </c>
    </row>
    <row r="61" spans="2:59" ht="18.75" outlineLevel="1" x14ac:dyDescent="0.3">
      <c r="B61" s="44" t="s">
        <v>55</v>
      </c>
      <c r="C61" s="42" t="s">
        <v>29</v>
      </c>
      <c r="D61" s="35"/>
      <c r="E61" s="35"/>
      <c r="F61" s="38"/>
      <c r="G61" s="38"/>
      <c r="H61" s="38"/>
      <c r="I61" s="39"/>
      <c r="J61" s="39"/>
      <c r="K61" s="39"/>
      <c r="L61" s="39"/>
      <c r="M61" s="39"/>
      <c r="N61" s="39"/>
      <c r="O61" s="66"/>
      <c r="P61" s="66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66"/>
      <c r="AB61" s="66"/>
      <c r="AC61" s="39"/>
      <c r="AD61" s="39"/>
      <c r="AE61" s="39"/>
      <c r="AF61" s="39"/>
      <c r="AG61" s="39"/>
      <c r="AH61" s="39"/>
      <c r="AI61" s="39"/>
      <c r="AJ61" s="39"/>
      <c r="AK61" s="66"/>
      <c r="AL61" s="66"/>
    </row>
    <row r="62" spans="2:59" ht="19.5" customHeight="1" outlineLevel="1" x14ac:dyDescent="0.2">
      <c r="B62" s="9">
        <v>17</v>
      </c>
      <c r="C62" s="5" t="s">
        <v>41</v>
      </c>
      <c r="D62" s="10" t="s">
        <v>4</v>
      </c>
      <c r="E62" s="25">
        <v>203.6</v>
      </c>
      <c r="F62" s="25">
        <v>267.7</v>
      </c>
      <c r="G62" s="71">
        <f>3.438*59.632+6.586*37.474</f>
        <v>451.81858</v>
      </c>
      <c r="H62" s="131">
        <v>654.75</v>
      </c>
      <c r="I62" s="131">
        <v>216.21</v>
      </c>
      <c r="J62" s="131">
        <f>J65/I65*I62</f>
        <v>425.66595016734846</v>
      </c>
      <c r="K62" s="131">
        <v>641.35</v>
      </c>
      <c r="L62" s="131">
        <f>L65/J65*J62</f>
        <v>506.55373744886577</v>
      </c>
      <c r="M62" s="131">
        <f>M65/K65*K62</f>
        <v>499.78096093698019</v>
      </c>
      <c r="N62" s="131">
        <f>N65/K65*K62</f>
        <v>499.78096093698019</v>
      </c>
      <c r="O62" s="155">
        <f>O65/M65*M62</f>
        <v>524.74866906235445</v>
      </c>
      <c r="P62" s="155">
        <f>P65/M65*N62</f>
        <v>524.74866906235445</v>
      </c>
      <c r="Q62" s="131">
        <f t="shared" ref="Q62:AL62" si="47">Q65/O65*O62</f>
        <v>561.49601384175151</v>
      </c>
      <c r="R62" s="131">
        <f t="shared" si="47"/>
        <v>561.49601384175151</v>
      </c>
      <c r="S62" s="131">
        <f t="shared" si="47"/>
        <v>604.730694749451</v>
      </c>
      <c r="T62" s="131">
        <f t="shared" si="47"/>
        <v>604.730694749451</v>
      </c>
      <c r="U62" s="131">
        <f t="shared" si="47"/>
        <v>664.61051440739993</v>
      </c>
      <c r="V62" s="131">
        <f t="shared" si="47"/>
        <v>664.61051440739993</v>
      </c>
      <c r="W62" s="131">
        <f t="shared" si="47"/>
        <v>759.61584481267039</v>
      </c>
      <c r="X62" s="131">
        <f t="shared" si="47"/>
        <v>759.61584481267039</v>
      </c>
      <c r="Y62" s="131">
        <f t="shared" si="47"/>
        <v>869.77251946496312</v>
      </c>
      <c r="Z62" s="131">
        <f t="shared" si="47"/>
        <v>869.77251946496312</v>
      </c>
      <c r="AA62" s="155">
        <f t="shared" si="47"/>
        <v>869.77251946496312</v>
      </c>
      <c r="AB62" s="155">
        <f t="shared" si="47"/>
        <v>869.77251946496312</v>
      </c>
      <c r="AC62" s="131">
        <f t="shared" si="47"/>
        <v>869.77251946496312</v>
      </c>
      <c r="AD62" s="131">
        <f t="shared" si="47"/>
        <v>869.77251946496312</v>
      </c>
      <c r="AE62" s="131">
        <f t="shared" si="47"/>
        <v>869.77251946496312</v>
      </c>
      <c r="AF62" s="131">
        <f t="shared" si="47"/>
        <v>869.77251946496312</v>
      </c>
      <c r="AG62" s="131">
        <f t="shared" si="47"/>
        <v>869.77251946496312</v>
      </c>
      <c r="AH62" s="131">
        <f t="shared" si="47"/>
        <v>869.77251946496312</v>
      </c>
      <c r="AI62" s="131">
        <f t="shared" si="47"/>
        <v>869.77251946496312</v>
      </c>
      <c r="AJ62" s="131">
        <f t="shared" si="47"/>
        <v>869.77251946496312</v>
      </c>
      <c r="AK62" s="155">
        <f t="shared" si="47"/>
        <v>869.77251946496312</v>
      </c>
      <c r="AL62" s="155">
        <f t="shared" si="47"/>
        <v>869.77251946496312</v>
      </c>
    </row>
    <row r="63" spans="2:59" ht="25.5" customHeight="1" outlineLevel="1" x14ac:dyDescent="0.2">
      <c r="B63" s="9">
        <v>18</v>
      </c>
      <c r="C63" s="5" t="s">
        <v>42</v>
      </c>
      <c r="D63" s="4" t="s">
        <v>5</v>
      </c>
      <c r="E63" s="4"/>
      <c r="F63" s="18">
        <f>F62/E62/F64*10000</f>
        <v>124.98412603554273</v>
      </c>
      <c r="G63" s="18">
        <f>G62/F62/G64*10000</f>
        <v>163.54452803525874</v>
      </c>
      <c r="H63" s="125">
        <f>H62/G62/H64*10000</f>
        <v>139.6092092584615</v>
      </c>
      <c r="I63" s="125">
        <f>I62/H62/I64*10000</f>
        <v>31.874289606248375</v>
      </c>
      <c r="J63" s="125">
        <f>J62/H62/J64*10000</f>
        <v>61.97519704285336</v>
      </c>
      <c r="K63" s="125">
        <f>K62/I62/K64*10000</f>
        <v>267.96106883104505</v>
      </c>
      <c r="L63" s="125">
        <f>L62/I62/L64*10000</f>
        <v>224.84437557147945</v>
      </c>
      <c r="M63" s="125">
        <f>M62/K62/M64*10000</f>
        <v>73.654441538941327</v>
      </c>
      <c r="N63" s="125">
        <f>N62/K62/N64*10000</f>
        <v>74.785411850479775</v>
      </c>
      <c r="O63" s="154">
        <f>O62/M62/O64*10000</f>
        <v>99.995933471595279</v>
      </c>
      <c r="P63" s="154">
        <f>P62/M62/P64*10000</f>
        <v>99.995933471595279</v>
      </c>
      <c r="Q63" s="125">
        <f t="shared" ref="Q63:AL63" si="48">Q62/O62/Q64*10000</f>
        <v>102.39506859870293</v>
      </c>
      <c r="R63" s="125">
        <f t="shared" si="48"/>
        <v>102.39506859870293</v>
      </c>
      <c r="S63" s="125">
        <f t="shared" si="48"/>
        <v>103.4581256357976</v>
      </c>
      <c r="T63" s="125">
        <f t="shared" si="48"/>
        <v>103.4581256357976</v>
      </c>
      <c r="U63" s="125">
        <f t="shared" si="48"/>
        <v>105.57338953970556</v>
      </c>
      <c r="V63" s="125">
        <f t="shared" si="48"/>
        <v>105.57338953970556</v>
      </c>
      <c r="W63" s="125">
        <f t="shared" si="48"/>
        <v>109.79336048124999</v>
      </c>
      <c r="X63" s="125">
        <f t="shared" si="48"/>
        <v>109.79336048124999</v>
      </c>
      <c r="Y63" s="125">
        <f t="shared" si="48"/>
        <v>109.99195907450667</v>
      </c>
      <c r="Z63" s="125">
        <f t="shared" si="48"/>
        <v>109.99195907450667</v>
      </c>
      <c r="AA63" s="154">
        <f t="shared" si="48"/>
        <v>96.061479346781951</v>
      </c>
      <c r="AB63" s="154">
        <f t="shared" si="48"/>
        <v>96.061479346781951</v>
      </c>
      <c r="AC63" s="125">
        <f t="shared" si="48"/>
        <v>96.061479346781951</v>
      </c>
      <c r="AD63" s="125">
        <f t="shared" si="48"/>
        <v>96.061479346781951</v>
      </c>
      <c r="AE63" s="125">
        <f t="shared" si="48"/>
        <v>96.061479346781951</v>
      </c>
      <c r="AF63" s="125">
        <f t="shared" si="48"/>
        <v>96.061479346781951</v>
      </c>
      <c r="AG63" s="125">
        <f t="shared" si="48"/>
        <v>96.061479346781951</v>
      </c>
      <c r="AH63" s="125">
        <f t="shared" si="48"/>
        <v>96.061479346781951</v>
      </c>
      <c r="AI63" s="125">
        <f t="shared" si="48"/>
        <v>96.061479346781951</v>
      </c>
      <c r="AJ63" s="125">
        <f t="shared" si="48"/>
        <v>96.061479346781951</v>
      </c>
      <c r="AK63" s="154">
        <f t="shared" si="48"/>
        <v>96.061479346781951</v>
      </c>
      <c r="AL63" s="154">
        <f t="shared" si="48"/>
        <v>96.061479346781951</v>
      </c>
    </row>
    <row r="64" spans="2:59" ht="22.5" customHeight="1" outlineLevel="1" x14ac:dyDescent="0.2">
      <c r="B64" s="9">
        <f t="shared" ref="B64" si="49">B63+1</f>
        <v>19</v>
      </c>
      <c r="C64" s="5" t="s">
        <v>43</v>
      </c>
      <c r="D64" s="4" t="s">
        <v>19</v>
      </c>
      <c r="E64" s="4"/>
      <c r="F64" s="41">
        <v>105.2</v>
      </c>
      <c r="G64" s="41">
        <v>103.2</v>
      </c>
      <c r="H64" s="126">
        <v>103.8</v>
      </c>
      <c r="I64" s="129">
        <v>103.6</v>
      </c>
      <c r="J64" s="129">
        <v>104.9</v>
      </c>
      <c r="K64" s="129">
        <v>110.7</v>
      </c>
      <c r="L64" s="32">
        <v>104.2</v>
      </c>
      <c r="M64" s="32">
        <v>105.8</v>
      </c>
      <c r="N64" s="32">
        <v>104.2</v>
      </c>
      <c r="O64" s="49">
        <v>105</v>
      </c>
      <c r="P64" s="49">
        <v>105</v>
      </c>
      <c r="Q64" s="32">
        <v>104.5</v>
      </c>
      <c r="R64" s="32">
        <v>104.5</v>
      </c>
      <c r="S64" s="32">
        <v>104.1</v>
      </c>
      <c r="T64" s="32">
        <v>104.1</v>
      </c>
      <c r="U64" s="32">
        <v>104.1</v>
      </c>
      <c r="V64" s="32">
        <v>104.1</v>
      </c>
      <c r="W64" s="32">
        <v>104.1</v>
      </c>
      <c r="X64" s="32">
        <v>104.1</v>
      </c>
      <c r="Y64" s="32">
        <v>104.1</v>
      </c>
      <c r="Z64" s="32">
        <v>104.1</v>
      </c>
      <c r="AA64" s="32">
        <v>104.1</v>
      </c>
      <c r="AB64" s="32">
        <v>104.1</v>
      </c>
      <c r="AC64" s="32">
        <v>104.1</v>
      </c>
      <c r="AD64" s="32">
        <v>104.1</v>
      </c>
      <c r="AE64" s="32">
        <v>104.1</v>
      </c>
      <c r="AF64" s="32">
        <v>104.1</v>
      </c>
      <c r="AG64" s="32">
        <v>104.1</v>
      </c>
      <c r="AH64" s="32">
        <v>104.1</v>
      </c>
      <c r="AI64" s="32">
        <v>104.1</v>
      </c>
      <c r="AJ64" s="32">
        <v>104.1</v>
      </c>
      <c r="AK64" s="49">
        <v>104.1</v>
      </c>
      <c r="AL64" s="49">
        <v>104.1</v>
      </c>
    </row>
    <row r="65" spans="2:38" ht="19.5" customHeight="1" outlineLevel="1" x14ac:dyDescent="0.2">
      <c r="B65" s="9">
        <v>19</v>
      </c>
      <c r="C65" s="5" t="s">
        <v>6</v>
      </c>
      <c r="D65" s="10" t="s">
        <v>7</v>
      </c>
      <c r="E65" s="10">
        <v>7.6029999999999998</v>
      </c>
      <c r="F65" s="41">
        <v>8.2230000000000008</v>
      </c>
      <c r="G65" s="41">
        <v>10.023999999999999</v>
      </c>
      <c r="H65" s="126">
        <v>11.061</v>
      </c>
      <c r="I65" s="129">
        <v>5.3780000000000001</v>
      </c>
      <c r="J65" s="127">
        <v>10.587999999999999</v>
      </c>
      <c r="K65" s="129">
        <v>15.026999999999999</v>
      </c>
      <c r="L65" s="156">
        <v>12.6</v>
      </c>
      <c r="M65" s="137">
        <v>11.71</v>
      </c>
      <c r="N65" s="137">
        <v>11.71</v>
      </c>
      <c r="O65" s="157">
        <v>12.295</v>
      </c>
      <c r="P65" s="157">
        <v>12.295</v>
      </c>
      <c r="Q65" s="137">
        <v>13.156000000000001</v>
      </c>
      <c r="R65" s="137">
        <v>13.156000000000001</v>
      </c>
      <c r="S65" s="137">
        <v>14.169</v>
      </c>
      <c r="T65" s="137">
        <v>14.169</v>
      </c>
      <c r="U65" s="137">
        <v>15.571999999999999</v>
      </c>
      <c r="V65" s="137">
        <v>15.571999999999999</v>
      </c>
      <c r="W65" s="137">
        <v>17.797999999999998</v>
      </c>
      <c r="X65" s="137">
        <v>17.797999999999998</v>
      </c>
      <c r="Y65" s="137">
        <v>20.379000000000001</v>
      </c>
      <c r="Z65" s="137">
        <v>20.379000000000001</v>
      </c>
      <c r="AA65" s="157">
        <v>20.379000000000001</v>
      </c>
      <c r="AB65" s="157">
        <v>20.379000000000001</v>
      </c>
      <c r="AC65" s="137">
        <v>20.379000000000001</v>
      </c>
      <c r="AD65" s="137">
        <v>20.379000000000001</v>
      </c>
      <c r="AE65" s="137">
        <v>20.379000000000001</v>
      </c>
      <c r="AF65" s="137">
        <v>20.379000000000001</v>
      </c>
      <c r="AG65" s="137">
        <v>20.379000000000001</v>
      </c>
      <c r="AH65" s="137">
        <v>20.379000000000001</v>
      </c>
      <c r="AI65" s="137">
        <v>20.379000000000001</v>
      </c>
      <c r="AJ65" s="137">
        <v>20.379000000000001</v>
      </c>
      <c r="AK65" s="157">
        <v>20.379000000000001</v>
      </c>
      <c r="AL65" s="157">
        <v>20.379000000000001</v>
      </c>
    </row>
    <row r="66" spans="2:38" ht="18.75" outlineLevel="1" x14ac:dyDescent="0.3">
      <c r="B66" s="43" t="s">
        <v>54</v>
      </c>
      <c r="C66" s="42" t="s">
        <v>59</v>
      </c>
      <c r="D66" s="40"/>
      <c r="E66" s="40"/>
      <c r="F66" s="38"/>
      <c r="G66" s="38"/>
      <c r="H66" s="38"/>
      <c r="I66" s="39"/>
      <c r="J66" s="39"/>
      <c r="K66" s="39"/>
      <c r="L66" s="39"/>
      <c r="M66" s="39"/>
      <c r="N66" s="39"/>
      <c r="O66" s="66"/>
      <c r="P66" s="66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66"/>
      <c r="AB66" s="66"/>
      <c r="AC66" s="39"/>
      <c r="AD66" s="39"/>
      <c r="AE66" s="39"/>
      <c r="AF66" s="39"/>
      <c r="AG66" s="39"/>
      <c r="AH66" s="39"/>
      <c r="AI66" s="39"/>
      <c r="AJ66" s="39"/>
      <c r="AK66" s="66"/>
      <c r="AL66" s="66"/>
    </row>
    <row r="67" spans="2:38" ht="21" customHeight="1" outlineLevel="1" x14ac:dyDescent="0.2">
      <c r="B67" s="9">
        <f>B65+1</f>
        <v>20</v>
      </c>
      <c r="C67" s="5" t="s">
        <v>44</v>
      </c>
      <c r="D67" s="4" t="s">
        <v>45</v>
      </c>
      <c r="E67" s="4"/>
      <c r="F67" s="41">
        <v>104.3</v>
      </c>
      <c r="G67" s="18">
        <v>103</v>
      </c>
      <c r="H67" s="126">
        <v>104.9</v>
      </c>
      <c r="I67" s="128">
        <v>108.4</v>
      </c>
      <c r="J67" s="128">
        <v>104</v>
      </c>
      <c r="K67" s="128">
        <v>111.9</v>
      </c>
      <c r="L67" s="128">
        <v>104</v>
      </c>
      <c r="M67" s="128">
        <v>107.5</v>
      </c>
      <c r="N67" s="128">
        <v>106.1</v>
      </c>
      <c r="O67" s="152">
        <v>104.5</v>
      </c>
      <c r="P67" s="152">
        <v>104.5</v>
      </c>
      <c r="Q67" s="128">
        <v>104</v>
      </c>
      <c r="R67" s="128">
        <v>104</v>
      </c>
      <c r="S67" s="128">
        <v>104</v>
      </c>
      <c r="T67" s="128">
        <v>104</v>
      </c>
      <c r="U67" s="128">
        <v>104</v>
      </c>
      <c r="V67" s="128">
        <v>104</v>
      </c>
      <c r="W67" s="128">
        <v>104</v>
      </c>
      <c r="X67" s="128">
        <v>104</v>
      </c>
      <c r="Y67" s="128">
        <v>104</v>
      </c>
      <c r="Z67" s="128">
        <v>104</v>
      </c>
      <c r="AA67" s="152">
        <v>104</v>
      </c>
      <c r="AB67" s="152">
        <v>104</v>
      </c>
      <c r="AC67" s="128">
        <v>104</v>
      </c>
      <c r="AD67" s="128">
        <v>104</v>
      </c>
      <c r="AE67" s="128">
        <v>104</v>
      </c>
      <c r="AF67" s="128">
        <v>104</v>
      </c>
      <c r="AG67" s="128">
        <v>104</v>
      </c>
      <c r="AH67" s="128">
        <v>104</v>
      </c>
      <c r="AI67" s="128">
        <v>104</v>
      </c>
      <c r="AJ67" s="128">
        <v>104</v>
      </c>
      <c r="AK67" s="152">
        <v>104</v>
      </c>
      <c r="AL67" s="152">
        <v>104</v>
      </c>
    </row>
    <row r="68" spans="2:38" ht="18" customHeight="1" outlineLevel="1" x14ac:dyDescent="0.3">
      <c r="B68" s="9">
        <f>B67+1</f>
        <v>21</v>
      </c>
      <c r="C68" s="8" t="s">
        <v>46</v>
      </c>
      <c r="D68" s="4" t="s">
        <v>31</v>
      </c>
      <c r="E68" s="4"/>
      <c r="F68" s="18">
        <v>105</v>
      </c>
      <c r="G68" s="41">
        <v>104.5</v>
      </c>
      <c r="H68" s="126">
        <v>103.4</v>
      </c>
      <c r="I68" s="127">
        <v>106.7</v>
      </c>
      <c r="J68" s="127">
        <v>103.5</v>
      </c>
      <c r="K68" s="128">
        <v>113.8</v>
      </c>
      <c r="L68" s="128">
        <v>103.8</v>
      </c>
      <c r="M68" s="128">
        <v>105.8</v>
      </c>
      <c r="N68" s="128">
        <v>109</v>
      </c>
      <c r="O68" s="152">
        <v>107.2</v>
      </c>
      <c r="P68" s="152">
        <v>107.2</v>
      </c>
      <c r="Q68" s="128">
        <v>104.2</v>
      </c>
      <c r="R68" s="128">
        <v>104.2</v>
      </c>
      <c r="S68" s="128">
        <v>104</v>
      </c>
      <c r="T68" s="128">
        <v>104</v>
      </c>
      <c r="U68" s="128">
        <v>104</v>
      </c>
      <c r="V68" s="128">
        <v>104</v>
      </c>
      <c r="W68" s="128">
        <v>104</v>
      </c>
      <c r="X68" s="128">
        <v>104</v>
      </c>
      <c r="Y68" s="128">
        <v>104</v>
      </c>
      <c r="Z68" s="128">
        <v>104</v>
      </c>
      <c r="AA68" s="152">
        <v>104</v>
      </c>
      <c r="AB68" s="152">
        <v>104</v>
      </c>
      <c r="AC68" s="128">
        <v>104</v>
      </c>
      <c r="AD68" s="128">
        <v>104</v>
      </c>
      <c r="AE68" s="128">
        <v>104</v>
      </c>
      <c r="AF68" s="128">
        <v>104</v>
      </c>
      <c r="AG68" s="128">
        <v>104</v>
      </c>
      <c r="AH68" s="128">
        <v>104</v>
      </c>
      <c r="AI68" s="128">
        <v>104</v>
      </c>
      <c r="AJ68" s="128">
        <v>104</v>
      </c>
      <c r="AK68" s="152">
        <v>104</v>
      </c>
      <c r="AL68" s="152">
        <v>104</v>
      </c>
    </row>
    <row r="69" spans="2:38" s="61" customFormat="1" ht="18" customHeight="1" outlineLevel="1" x14ac:dyDescent="0.2">
      <c r="B69" s="72">
        <f t="shared" ref="B69:B74" si="50">B68+1</f>
        <v>22</v>
      </c>
      <c r="C69" s="5" t="s">
        <v>9</v>
      </c>
      <c r="D69" s="11" t="s">
        <v>81</v>
      </c>
      <c r="E69" s="11">
        <v>2656.9</v>
      </c>
      <c r="F69" s="41">
        <v>2747.2</v>
      </c>
      <c r="G69" s="41">
        <v>2730.7</v>
      </c>
      <c r="H69" s="126">
        <v>2684.3</v>
      </c>
      <c r="I69" s="129">
        <v>2767.5</v>
      </c>
      <c r="J69" s="130">
        <v>3134.8</v>
      </c>
      <c r="K69" s="130">
        <v>2643</v>
      </c>
      <c r="L69" s="32">
        <v>2629.81</v>
      </c>
      <c r="M69" s="32">
        <v>2669.4</v>
      </c>
      <c r="N69" s="32">
        <v>2937.84</v>
      </c>
      <c r="O69" s="49">
        <v>2698.79</v>
      </c>
      <c r="P69" s="49">
        <v>2749.51</v>
      </c>
      <c r="Q69" s="32">
        <v>2739.3</v>
      </c>
      <c r="R69" s="32">
        <v>2859.49</v>
      </c>
      <c r="S69" s="32">
        <v>2804.2</v>
      </c>
      <c r="T69" s="32">
        <v>2973.87</v>
      </c>
      <c r="U69" s="32">
        <f>S69*U70%</f>
        <v>2870.6595400000001</v>
      </c>
      <c r="V69" s="32">
        <f>T69*V70%</f>
        <v>3092.8247999999999</v>
      </c>
      <c r="W69" s="32">
        <f t="shared" ref="W69:AK69" si="51">U69*W70%</f>
        <v>2938.6941710980004</v>
      </c>
      <c r="X69" s="32">
        <f t="shared" si="51"/>
        <v>3216.5377920000001</v>
      </c>
      <c r="Y69" s="32">
        <f>W69*Y70%</f>
        <v>3008.3412229530231</v>
      </c>
      <c r="Z69" s="32">
        <f t="shared" si="51"/>
        <v>3347.7725339136</v>
      </c>
      <c r="AA69" s="138">
        <f>Y69*AA70%</f>
        <v>3079.0372416924188</v>
      </c>
      <c r="AB69" s="138">
        <f t="shared" si="51"/>
        <v>3484.3616532972746</v>
      </c>
      <c r="AC69" s="32">
        <f t="shared" si="51"/>
        <v>3151.39461687219</v>
      </c>
      <c r="AD69" s="32">
        <f t="shared" si="51"/>
        <v>3672.5171825753278</v>
      </c>
      <c r="AE69" s="32">
        <f t="shared" si="51"/>
        <v>3225.4523903686859</v>
      </c>
      <c r="AF69" s="32">
        <f t="shared" si="51"/>
        <v>3870.8331104343956</v>
      </c>
      <c r="AG69" s="32">
        <f t="shared" si="51"/>
        <v>3301.2505215423494</v>
      </c>
      <c r="AH69" s="32">
        <f>AF69*AH70%</f>
        <v>4079.8580983978532</v>
      </c>
      <c r="AI69" s="32">
        <f t="shared" si="51"/>
        <v>3378.8299087985943</v>
      </c>
      <c r="AJ69" s="32">
        <f>AH69*AJ70%</f>
        <v>4300.1704357113376</v>
      </c>
      <c r="AK69" s="138">
        <f t="shared" si="51"/>
        <v>3458.5702946462411</v>
      </c>
      <c r="AL69" s="49">
        <f>AJ69*AL70%</f>
        <v>4532.3796392397498</v>
      </c>
    </row>
    <row r="70" spans="2:38" ht="18.75" outlineLevel="1" x14ac:dyDescent="0.2">
      <c r="B70" s="9">
        <f t="shared" si="50"/>
        <v>23</v>
      </c>
      <c r="C70" s="5" t="s">
        <v>47</v>
      </c>
      <c r="D70" s="11" t="s">
        <v>31</v>
      </c>
      <c r="E70" s="11"/>
      <c r="F70" s="18">
        <f>F69/E69*100</f>
        <v>103.39869773043773</v>
      </c>
      <c r="G70" s="18">
        <f>G69/F69*100</f>
        <v>99.399388468258593</v>
      </c>
      <c r="H70" s="125">
        <f>H69/G69*100</f>
        <v>98.300801992163201</v>
      </c>
      <c r="I70" s="125">
        <f>I69/H69*100</f>
        <v>103.09950452631971</v>
      </c>
      <c r="J70" s="125">
        <f>J69/H69*100</f>
        <v>116.78277390753642</v>
      </c>
      <c r="K70" s="125">
        <f>K69/I69*100</f>
        <v>95.501355013550139</v>
      </c>
      <c r="L70" s="125">
        <f>L69/I69*100</f>
        <v>95.024751580849141</v>
      </c>
      <c r="M70" s="125">
        <f>M69/K69*100</f>
        <v>100.99886492622021</v>
      </c>
      <c r="N70" s="125">
        <f>N69/K69*100</f>
        <v>111.15550510783201</v>
      </c>
      <c r="O70" s="154">
        <f>O69/M69*100</f>
        <v>101.10099647860942</v>
      </c>
      <c r="P70" s="154">
        <f>P69/M69*100</f>
        <v>103.00104892485203</v>
      </c>
      <c r="Q70" s="32">
        <v>102.37</v>
      </c>
      <c r="R70" s="128">
        <v>104</v>
      </c>
      <c r="S70" s="32">
        <v>102.37</v>
      </c>
      <c r="T70" s="128">
        <v>104</v>
      </c>
      <c r="U70" s="32">
        <v>102.37</v>
      </c>
      <c r="V70" s="128">
        <v>104</v>
      </c>
      <c r="W70" s="32">
        <v>102.37</v>
      </c>
      <c r="X70" s="128">
        <v>104</v>
      </c>
      <c r="Y70" s="32">
        <v>102.37</v>
      </c>
      <c r="Z70" s="128">
        <v>104.08</v>
      </c>
      <c r="AA70" s="32">
        <v>102.35</v>
      </c>
      <c r="AB70" s="152">
        <v>104.08</v>
      </c>
      <c r="AC70" s="32">
        <v>102.35</v>
      </c>
      <c r="AD70" s="128">
        <v>105.4</v>
      </c>
      <c r="AE70" s="32">
        <v>102.35</v>
      </c>
      <c r="AF70" s="128">
        <v>105.4</v>
      </c>
      <c r="AG70" s="32">
        <v>102.35</v>
      </c>
      <c r="AH70" s="128">
        <v>105.4</v>
      </c>
      <c r="AI70" s="32">
        <v>102.35</v>
      </c>
      <c r="AJ70" s="128">
        <v>105.4</v>
      </c>
      <c r="AK70" s="49">
        <v>102.36</v>
      </c>
      <c r="AL70" s="152">
        <v>105.4</v>
      </c>
    </row>
    <row r="71" spans="2:38" ht="18.75" outlineLevel="1" x14ac:dyDescent="0.2">
      <c r="B71" s="9">
        <f t="shared" si="50"/>
        <v>24</v>
      </c>
      <c r="C71" s="5" t="s">
        <v>12</v>
      </c>
      <c r="D71" s="4" t="s">
        <v>31</v>
      </c>
      <c r="E71" s="4"/>
      <c r="F71" s="41">
        <v>103.1</v>
      </c>
      <c r="G71" s="41">
        <v>104.5</v>
      </c>
      <c r="H71" s="126">
        <v>104.1</v>
      </c>
      <c r="I71" s="129">
        <v>108</v>
      </c>
      <c r="J71" s="129">
        <v>103.6</v>
      </c>
      <c r="K71" s="129">
        <v>115.4</v>
      </c>
      <c r="L71" s="129">
        <v>103.7</v>
      </c>
      <c r="M71" s="32">
        <v>104.5</v>
      </c>
      <c r="N71" s="32">
        <v>110.2</v>
      </c>
      <c r="O71" s="49">
        <v>108</v>
      </c>
      <c r="P71" s="49">
        <v>108</v>
      </c>
      <c r="Q71" s="128">
        <v>104.2</v>
      </c>
      <c r="R71" s="128">
        <v>104.2</v>
      </c>
      <c r="S71" s="128">
        <v>104.1</v>
      </c>
      <c r="T71" s="128">
        <v>104.1</v>
      </c>
      <c r="U71" s="128">
        <v>104.1</v>
      </c>
      <c r="V71" s="128">
        <v>104.1</v>
      </c>
      <c r="W71" s="128">
        <v>104.1</v>
      </c>
      <c r="X71" s="128">
        <v>104.1</v>
      </c>
      <c r="Y71" s="128">
        <v>104.1</v>
      </c>
      <c r="Z71" s="128">
        <v>104.1</v>
      </c>
      <c r="AA71" s="152">
        <v>104.1</v>
      </c>
      <c r="AB71" s="152">
        <v>104.1</v>
      </c>
      <c r="AC71" s="128">
        <v>104.1</v>
      </c>
      <c r="AD71" s="128">
        <v>104.1</v>
      </c>
      <c r="AE71" s="128">
        <v>104.1</v>
      </c>
      <c r="AF71" s="128">
        <v>104.1</v>
      </c>
      <c r="AG71" s="128">
        <v>104.1</v>
      </c>
      <c r="AH71" s="128">
        <v>104.1</v>
      </c>
      <c r="AI71" s="128">
        <v>104.1</v>
      </c>
      <c r="AJ71" s="128">
        <v>104.1</v>
      </c>
      <c r="AK71" s="152">
        <v>104.1</v>
      </c>
      <c r="AL71" s="152">
        <v>104.1</v>
      </c>
    </row>
    <row r="72" spans="2:38" ht="18.75" outlineLevel="1" x14ac:dyDescent="0.2">
      <c r="B72" s="72">
        <f t="shared" si="50"/>
        <v>25</v>
      </c>
      <c r="C72" s="5" t="s">
        <v>10</v>
      </c>
      <c r="D72" s="11" t="s">
        <v>81</v>
      </c>
      <c r="E72" s="11">
        <v>476</v>
      </c>
      <c r="F72" s="41">
        <v>541.5</v>
      </c>
      <c r="G72" s="45">
        <v>569.79999999999995</v>
      </c>
      <c r="H72" s="139">
        <v>540.02</v>
      </c>
      <c r="I72" s="128">
        <v>682.42</v>
      </c>
      <c r="J72" s="128">
        <v>578.37549999999999</v>
      </c>
      <c r="K72" s="128">
        <v>673.1</v>
      </c>
      <c r="L72" s="128">
        <v>548.15</v>
      </c>
      <c r="M72" s="128">
        <v>676.4</v>
      </c>
      <c r="N72" s="128">
        <v>698.18</v>
      </c>
      <c r="O72" s="158">
        <v>680.5</v>
      </c>
      <c r="P72" s="158">
        <v>683</v>
      </c>
      <c r="Q72" s="128">
        <v>693.4</v>
      </c>
      <c r="R72" s="128">
        <v>696.9</v>
      </c>
      <c r="S72" s="128">
        <v>706.6</v>
      </c>
      <c r="T72" s="128">
        <v>717.8</v>
      </c>
      <c r="U72" s="128">
        <f t="shared" ref="U72:AL72" si="52">S72*U73%</f>
        <v>720.0254000000001</v>
      </c>
      <c r="V72" s="128">
        <v>746.5</v>
      </c>
      <c r="W72" s="128">
        <f t="shared" si="52"/>
        <v>733.70588260000022</v>
      </c>
      <c r="X72" s="128">
        <v>783.8</v>
      </c>
      <c r="Y72" s="128">
        <f t="shared" si="52"/>
        <v>747.64629436940027</v>
      </c>
      <c r="Z72" s="128">
        <v>830.8</v>
      </c>
      <c r="AA72" s="152">
        <f>Y72*AA73%</f>
        <v>761.85157396241891</v>
      </c>
      <c r="AB72" s="152">
        <f t="shared" si="52"/>
        <v>885.63279999999986</v>
      </c>
      <c r="AC72" s="128">
        <f t="shared" si="52"/>
        <v>783.94526960732912</v>
      </c>
      <c r="AD72" s="128">
        <f t="shared" si="52"/>
        <v>946.74146319999977</v>
      </c>
      <c r="AE72" s="128">
        <f t="shared" si="52"/>
        <v>806.67968242594179</v>
      </c>
      <c r="AF72" s="128">
        <f t="shared" si="52"/>
        <v>1012.0666241607997</v>
      </c>
      <c r="AG72" s="128">
        <f t="shared" si="52"/>
        <v>830.07339321629422</v>
      </c>
      <c r="AH72" s="128">
        <f t="shared" si="52"/>
        <v>1081.8992212278949</v>
      </c>
      <c r="AI72" s="128">
        <f t="shared" si="52"/>
        <v>854.14552161956692</v>
      </c>
      <c r="AJ72" s="128">
        <f t="shared" si="52"/>
        <v>1157.6321667138477</v>
      </c>
      <c r="AK72" s="152">
        <f t="shared" si="52"/>
        <v>878.91574174653442</v>
      </c>
      <c r="AL72" s="152">
        <f t="shared" si="52"/>
        <v>1238.666418383817</v>
      </c>
    </row>
    <row r="73" spans="2:38" ht="21" customHeight="1" outlineLevel="1" x14ac:dyDescent="0.2">
      <c r="B73" s="72">
        <f t="shared" si="50"/>
        <v>26</v>
      </c>
      <c r="C73" s="5" t="s">
        <v>48</v>
      </c>
      <c r="D73" s="4" t="s">
        <v>31</v>
      </c>
      <c r="E73" s="4"/>
      <c r="F73" s="18">
        <f>F72/E72*100</f>
        <v>113.76050420168067</v>
      </c>
      <c r="G73" s="18">
        <f>G72/F72*100</f>
        <v>105.22622345337025</v>
      </c>
      <c r="H73" s="125">
        <f>H72/G72*100</f>
        <v>94.773604773604774</v>
      </c>
      <c r="I73" s="125">
        <f>I72/H72*100</f>
        <v>126.36939372615829</v>
      </c>
      <c r="J73" s="125">
        <f>J72/H72*100</f>
        <v>107.10260731084034</v>
      </c>
      <c r="K73" s="125">
        <f>K72/I72*100</f>
        <v>98.634272149116384</v>
      </c>
      <c r="L73" s="125">
        <f>L72/I72*100</f>
        <v>80.3244336332464</v>
      </c>
      <c r="M73" s="125">
        <f>M72/K72*100</f>
        <v>100.49026890506612</v>
      </c>
      <c r="N73" s="159">
        <f>N72/K72*100</f>
        <v>103.72604367850245</v>
      </c>
      <c r="O73" s="154">
        <f>O72/M72*100</f>
        <v>100.60615020697811</v>
      </c>
      <c r="P73" s="152">
        <f>P72/M72*100</f>
        <v>100.97575399172088</v>
      </c>
      <c r="Q73" s="125">
        <f>Q72/O72*100</f>
        <v>101.89566495224101</v>
      </c>
      <c r="R73" s="128">
        <f>R72/P72*100</f>
        <v>102.03513909224012</v>
      </c>
      <c r="S73" s="125">
        <f>S72/Q72*100</f>
        <v>101.90366310931643</v>
      </c>
      <c r="T73" s="128">
        <f>T72/R72*100</f>
        <v>102.9989955517291</v>
      </c>
      <c r="U73" s="125">
        <v>101.9</v>
      </c>
      <c r="V73" s="128">
        <f>V72/T72*100</f>
        <v>103.99832822513235</v>
      </c>
      <c r="W73" s="125">
        <v>101.9</v>
      </c>
      <c r="X73" s="128">
        <f>X72/V72*100</f>
        <v>104.99665103817817</v>
      </c>
      <c r="Y73" s="125">
        <v>101.9</v>
      </c>
      <c r="Z73" s="128">
        <f>Z72/X72*100</f>
        <v>105.99642766011739</v>
      </c>
      <c r="AA73" s="154">
        <v>101.9</v>
      </c>
      <c r="AB73" s="152">
        <v>106.6</v>
      </c>
      <c r="AC73" s="125">
        <v>102.9</v>
      </c>
      <c r="AD73" s="128">
        <v>106.9</v>
      </c>
      <c r="AE73" s="125">
        <v>102.9</v>
      </c>
      <c r="AF73" s="128">
        <v>106.9</v>
      </c>
      <c r="AG73" s="125">
        <v>102.9</v>
      </c>
      <c r="AH73" s="128">
        <v>106.9</v>
      </c>
      <c r="AI73" s="125">
        <v>102.9</v>
      </c>
      <c r="AJ73" s="128">
        <v>107</v>
      </c>
      <c r="AK73" s="154">
        <v>102.9</v>
      </c>
      <c r="AL73" s="152">
        <v>107</v>
      </c>
    </row>
    <row r="74" spans="2:38" ht="18.75" outlineLevel="1" x14ac:dyDescent="0.2">
      <c r="B74" s="72">
        <f t="shared" si="50"/>
        <v>27</v>
      </c>
      <c r="C74" s="5" t="s">
        <v>12</v>
      </c>
      <c r="D74" s="4" t="s">
        <v>31</v>
      </c>
      <c r="E74" s="4"/>
      <c r="F74" s="41">
        <v>103.9</v>
      </c>
      <c r="G74" s="74">
        <v>105</v>
      </c>
      <c r="H74" s="139">
        <v>103.2</v>
      </c>
      <c r="I74" s="126">
        <v>104.3</v>
      </c>
      <c r="J74" s="126">
        <v>103.7</v>
      </c>
      <c r="K74" s="126">
        <v>110.1</v>
      </c>
      <c r="L74" s="126">
        <v>104.1</v>
      </c>
      <c r="M74" s="125">
        <v>110.3</v>
      </c>
      <c r="N74" s="125">
        <v>106.5</v>
      </c>
      <c r="O74" s="154">
        <v>105.7</v>
      </c>
      <c r="P74" s="154">
        <v>105.7</v>
      </c>
      <c r="Q74" s="126">
        <v>104.8</v>
      </c>
      <c r="R74" s="126">
        <v>104.8</v>
      </c>
      <c r="S74" s="125">
        <v>104.3</v>
      </c>
      <c r="T74" s="125">
        <v>104.3</v>
      </c>
      <c r="U74" s="125">
        <v>104.3</v>
      </c>
      <c r="V74" s="125">
        <v>104.3</v>
      </c>
      <c r="W74" s="126">
        <v>104.3</v>
      </c>
      <c r="X74" s="126">
        <v>104.3</v>
      </c>
      <c r="Y74" s="125">
        <v>104.3</v>
      </c>
      <c r="Z74" s="125">
        <v>104.3</v>
      </c>
      <c r="AA74" s="154">
        <v>104.3</v>
      </c>
      <c r="AB74" s="154">
        <v>104.3</v>
      </c>
      <c r="AC74" s="126">
        <v>104.3</v>
      </c>
      <c r="AD74" s="126">
        <v>104.3</v>
      </c>
      <c r="AE74" s="125">
        <v>104.3</v>
      </c>
      <c r="AF74" s="125">
        <v>104.3</v>
      </c>
      <c r="AG74" s="125">
        <v>104.3</v>
      </c>
      <c r="AH74" s="125">
        <v>104.3</v>
      </c>
      <c r="AI74" s="126">
        <v>104.3</v>
      </c>
      <c r="AJ74" s="126">
        <v>104.3</v>
      </c>
      <c r="AK74" s="154">
        <v>104.3</v>
      </c>
      <c r="AL74" s="154">
        <v>104.3</v>
      </c>
    </row>
    <row r="75" spans="2:38" ht="18.75" outlineLevel="1" x14ac:dyDescent="0.3">
      <c r="B75" s="43" t="s">
        <v>71</v>
      </c>
      <c r="C75" s="42" t="s">
        <v>53</v>
      </c>
      <c r="D75" s="40"/>
      <c r="E75" s="40"/>
      <c r="F75" s="38"/>
      <c r="G75" s="38"/>
      <c r="H75" s="38"/>
      <c r="I75" s="39"/>
      <c r="J75" s="39"/>
      <c r="K75" s="39"/>
      <c r="L75" s="39"/>
      <c r="M75" s="39"/>
      <c r="N75" s="39"/>
      <c r="O75" s="66"/>
      <c r="P75" s="66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66"/>
      <c r="AB75" s="66"/>
      <c r="AC75" s="39"/>
      <c r="AD75" s="39"/>
      <c r="AE75" s="39"/>
      <c r="AF75" s="39"/>
      <c r="AG75" s="39"/>
      <c r="AH75" s="39"/>
      <c r="AI75" s="39"/>
      <c r="AJ75" s="39"/>
      <c r="AK75" s="66"/>
      <c r="AL75" s="66"/>
    </row>
    <row r="76" spans="2:38" ht="18.75" outlineLevel="1" x14ac:dyDescent="0.2">
      <c r="B76" s="53">
        <f>B74+1</f>
        <v>28</v>
      </c>
      <c r="C76" s="6" t="s">
        <v>11</v>
      </c>
      <c r="D76" s="4" t="s">
        <v>81</v>
      </c>
      <c r="E76" s="4">
        <v>795.7</v>
      </c>
      <c r="F76" s="18">
        <v>644.43799999999999</v>
      </c>
      <c r="G76" s="18">
        <v>1516.7</v>
      </c>
      <c r="H76" s="125">
        <v>1705</v>
      </c>
      <c r="I76" s="126">
        <v>1338.27</v>
      </c>
      <c r="J76" s="126">
        <v>1684.6</v>
      </c>
      <c r="K76" s="126">
        <v>1732.03</v>
      </c>
      <c r="L76" s="126">
        <v>3275.3</v>
      </c>
      <c r="M76" s="125">
        <v>883.27</v>
      </c>
      <c r="N76" s="125">
        <v>759.91</v>
      </c>
      <c r="O76" s="154">
        <v>574.61</v>
      </c>
      <c r="P76" s="154">
        <v>603.34</v>
      </c>
      <c r="Q76" s="125">
        <v>608.4</v>
      </c>
      <c r="R76" s="125">
        <v>638.9</v>
      </c>
      <c r="S76" s="125">
        <v>656.8</v>
      </c>
      <c r="T76" s="125">
        <v>689.6</v>
      </c>
      <c r="U76" s="125">
        <v>418.43389999999999</v>
      </c>
      <c r="V76" s="125">
        <v>1918.4390000000001</v>
      </c>
      <c r="W76" s="125">
        <v>851.39419999999996</v>
      </c>
      <c r="X76" s="125">
        <v>2351.3939999999998</v>
      </c>
      <c r="Y76" s="125">
        <v>614.01990000000001</v>
      </c>
      <c r="Z76" s="125">
        <v>2114.02</v>
      </c>
      <c r="AA76" s="154">
        <v>716.14649999999995</v>
      </c>
      <c r="AB76" s="154">
        <v>5716.1459999999997</v>
      </c>
      <c r="AC76" s="125">
        <v>586.5</v>
      </c>
      <c r="AD76" s="125">
        <v>1004.5</v>
      </c>
      <c r="AE76" s="125">
        <v>1024</v>
      </c>
      <c r="AF76" s="125">
        <v>1442</v>
      </c>
      <c r="AG76" s="125">
        <v>772</v>
      </c>
      <c r="AH76" s="125">
        <v>1190</v>
      </c>
      <c r="AI76" s="125">
        <v>782</v>
      </c>
      <c r="AJ76" s="125">
        <v>1350</v>
      </c>
      <c r="AK76" s="154">
        <v>702</v>
      </c>
      <c r="AL76" s="154">
        <v>720</v>
      </c>
    </row>
    <row r="77" spans="2:38" ht="37.5" outlineLevel="1" x14ac:dyDescent="0.2">
      <c r="B77" s="73">
        <f>B76+1</f>
        <v>29</v>
      </c>
      <c r="C77" s="6" t="s">
        <v>49</v>
      </c>
      <c r="D77" s="4" t="s">
        <v>31</v>
      </c>
      <c r="E77" s="4"/>
      <c r="F77" s="18">
        <f>F76/E76*100</f>
        <v>80.990071635038333</v>
      </c>
      <c r="G77" s="18">
        <f t="shared" ref="G77:H77" si="53">G76/F76*100</f>
        <v>235.35235352353524</v>
      </c>
      <c r="H77" s="125">
        <f t="shared" si="53"/>
        <v>112.41511175578557</v>
      </c>
      <c r="I77" s="125">
        <f>I76/H76*100</f>
        <v>78.490909090909085</v>
      </c>
      <c r="J77" s="125">
        <f>J76/H76*100</f>
        <v>98.803519061583572</v>
      </c>
      <c r="K77" s="125">
        <f>K76/I76*100</f>
        <v>129.42306111621718</v>
      </c>
      <c r="L77" s="125">
        <f>L76/I76*100</f>
        <v>244.74134516950991</v>
      </c>
      <c r="M77" s="125">
        <f>M76/K76*100</f>
        <v>50.996229857450501</v>
      </c>
      <c r="N77" s="125">
        <f>N76/K76*100</f>
        <v>43.873951374976187</v>
      </c>
      <c r="O77" s="154">
        <f>O76/M76*100</f>
        <v>65.054852989459619</v>
      </c>
      <c r="P77" s="154">
        <f>P76/M76*100</f>
        <v>68.307539031100347</v>
      </c>
      <c r="Q77" s="125">
        <f t="shared" ref="Q77:AL77" si="54">Q76/O76*100</f>
        <v>105.88051025913228</v>
      </c>
      <c r="R77" s="125">
        <f>R76/P76*100</f>
        <v>105.89385752643616</v>
      </c>
      <c r="S77" s="125">
        <f>S76/Q76*100</f>
        <v>107.95529257067717</v>
      </c>
      <c r="T77" s="125">
        <f>T76/R76*100</f>
        <v>107.93551416497105</v>
      </c>
      <c r="U77" s="125">
        <f>U76/S76*100</f>
        <v>63.70796285018271</v>
      </c>
      <c r="V77" s="125">
        <f t="shared" si="54"/>
        <v>278.19591067285387</v>
      </c>
      <c r="W77" s="125">
        <f t="shared" si="54"/>
        <v>203.47161164523237</v>
      </c>
      <c r="X77" s="125">
        <f t="shared" si="54"/>
        <v>122.5680879089718</v>
      </c>
      <c r="Y77" s="125">
        <f t="shared" si="54"/>
        <v>72.119342602991665</v>
      </c>
      <c r="Z77" s="125">
        <f t="shared" si="54"/>
        <v>89.904967011058133</v>
      </c>
      <c r="AA77" s="154">
        <f t="shared" si="54"/>
        <v>116.63245767767461</v>
      </c>
      <c r="AB77" s="154">
        <f t="shared" si="54"/>
        <v>270.39223848402571</v>
      </c>
      <c r="AC77" s="125">
        <f t="shared" si="54"/>
        <v>81.896651034390317</v>
      </c>
      <c r="AD77" s="125">
        <f t="shared" si="54"/>
        <v>17.573029100376374</v>
      </c>
      <c r="AE77" s="125">
        <f t="shared" si="54"/>
        <v>174.59505541346974</v>
      </c>
      <c r="AF77" s="125">
        <f t="shared" si="54"/>
        <v>143.55400696864112</v>
      </c>
      <c r="AG77" s="125">
        <f t="shared" si="54"/>
        <v>75.390625</v>
      </c>
      <c r="AH77" s="125">
        <f t="shared" si="54"/>
        <v>82.524271844660191</v>
      </c>
      <c r="AI77" s="125">
        <f t="shared" si="54"/>
        <v>101.29533678756476</v>
      </c>
      <c r="AJ77" s="125">
        <f t="shared" si="54"/>
        <v>113.4453781512605</v>
      </c>
      <c r="AK77" s="154">
        <f t="shared" si="54"/>
        <v>89.769820971867006</v>
      </c>
      <c r="AL77" s="154">
        <f t="shared" si="54"/>
        <v>53.333333333333336</v>
      </c>
    </row>
    <row r="78" spans="2:38" ht="18.75" outlineLevel="1" x14ac:dyDescent="0.2">
      <c r="B78" s="73">
        <f t="shared" ref="B78" si="55">B77+1</f>
        <v>30</v>
      </c>
      <c r="C78" s="5" t="s">
        <v>12</v>
      </c>
      <c r="D78" s="4" t="s">
        <v>31</v>
      </c>
      <c r="E78" s="75">
        <v>103.7</v>
      </c>
      <c r="F78" s="75">
        <v>105.3</v>
      </c>
      <c r="G78" s="75">
        <v>106.8</v>
      </c>
      <c r="H78" s="127">
        <v>105.6</v>
      </c>
      <c r="I78" s="127">
        <v>104.9</v>
      </c>
      <c r="J78" s="127">
        <v>105.6</v>
      </c>
      <c r="K78" s="127">
        <v>114.6</v>
      </c>
      <c r="L78" s="127">
        <v>105.3</v>
      </c>
      <c r="M78" s="127">
        <v>107</v>
      </c>
      <c r="N78" s="127">
        <v>106.8</v>
      </c>
      <c r="O78" s="160">
        <v>105.3</v>
      </c>
      <c r="P78" s="160">
        <v>105.3</v>
      </c>
      <c r="Q78" s="127">
        <v>104.8</v>
      </c>
      <c r="R78" s="127">
        <v>104.8</v>
      </c>
      <c r="S78" s="125">
        <v>104.6</v>
      </c>
      <c r="T78" s="125">
        <v>104.6</v>
      </c>
      <c r="U78" s="127">
        <v>104.6</v>
      </c>
      <c r="V78" s="127">
        <v>104.6</v>
      </c>
      <c r="W78" s="125">
        <v>104.6</v>
      </c>
      <c r="X78" s="125">
        <v>104.6</v>
      </c>
      <c r="Y78" s="127">
        <v>104.6</v>
      </c>
      <c r="Z78" s="127">
        <v>104.6</v>
      </c>
      <c r="AA78" s="154">
        <v>104.6</v>
      </c>
      <c r="AB78" s="154">
        <v>104.6</v>
      </c>
      <c r="AC78" s="127">
        <v>104.6</v>
      </c>
      <c r="AD78" s="127">
        <v>104.6</v>
      </c>
      <c r="AE78" s="125">
        <v>104.6</v>
      </c>
      <c r="AF78" s="125">
        <v>104.6</v>
      </c>
      <c r="AG78" s="127">
        <v>104.6</v>
      </c>
      <c r="AH78" s="127">
        <v>104.6</v>
      </c>
      <c r="AI78" s="125">
        <v>104.6</v>
      </c>
      <c r="AJ78" s="125">
        <v>104.6</v>
      </c>
      <c r="AK78" s="127">
        <v>104.6</v>
      </c>
      <c r="AL78" s="127">
        <v>104.6</v>
      </c>
    </row>
    <row r="79" spans="2:38" s="14" customFormat="1" ht="18.75" outlineLevel="1" x14ac:dyDescent="0.3">
      <c r="B79" s="44" t="s">
        <v>72</v>
      </c>
      <c r="C79" s="42" t="s">
        <v>62</v>
      </c>
      <c r="D79" s="76"/>
      <c r="E79" s="76"/>
      <c r="F79" s="77"/>
      <c r="G79" s="77"/>
      <c r="H79" s="77"/>
      <c r="I79" s="78"/>
      <c r="J79" s="78"/>
      <c r="K79" s="78"/>
      <c r="L79" s="78"/>
      <c r="M79" s="78"/>
      <c r="N79" s="78"/>
      <c r="O79" s="79"/>
      <c r="P79" s="79"/>
      <c r="Q79" s="78"/>
      <c r="R79" s="78"/>
      <c r="S79" s="78"/>
      <c r="T79" s="78"/>
      <c r="U79" s="78"/>
      <c r="V79" s="78"/>
      <c r="W79" s="78"/>
      <c r="X79" s="78"/>
      <c r="Y79" s="78"/>
      <c r="Z79" s="78"/>
      <c r="AA79" s="79"/>
      <c r="AB79" s="79"/>
      <c r="AC79" s="78"/>
      <c r="AD79" s="78"/>
      <c r="AE79" s="78"/>
      <c r="AF79" s="78"/>
      <c r="AG79" s="78"/>
      <c r="AH79" s="78"/>
      <c r="AI79" s="78"/>
      <c r="AJ79" s="78"/>
      <c r="AK79" s="79"/>
      <c r="AL79" s="79"/>
    </row>
    <row r="80" spans="2:38" s="14" customFormat="1" ht="24.75" customHeight="1" outlineLevel="1" x14ac:dyDescent="0.2">
      <c r="B80" s="100">
        <f>B78+1</f>
        <v>31</v>
      </c>
      <c r="C80" s="101" t="s">
        <v>74</v>
      </c>
      <c r="D80" s="103" t="s">
        <v>75</v>
      </c>
      <c r="E80" s="104">
        <v>30.71</v>
      </c>
      <c r="F80" s="104">
        <v>30.716000000000001</v>
      </c>
      <c r="G80" s="104">
        <v>29.803999999999998</v>
      </c>
      <c r="H80" s="123">
        <v>29.800999999999998</v>
      </c>
      <c r="I80" s="123">
        <v>29.263999999999999</v>
      </c>
      <c r="J80" s="123">
        <v>30.61</v>
      </c>
      <c r="K80" s="123">
        <v>30.195</v>
      </c>
      <c r="L80" s="123">
        <v>29.4</v>
      </c>
      <c r="M80" s="123">
        <v>30.172999999999998</v>
      </c>
      <c r="N80" s="123">
        <v>29.55</v>
      </c>
      <c r="O80" s="151">
        <v>30.18</v>
      </c>
      <c r="P80" s="151">
        <v>30.4</v>
      </c>
      <c r="Q80" s="124">
        <v>30.3</v>
      </c>
      <c r="R80" s="124">
        <v>30.51</v>
      </c>
      <c r="S80" s="124">
        <v>30.41</v>
      </c>
      <c r="T80" s="124">
        <v>30.68</v>
      </c>
      <c r="U80" s="124">
        <v>30.5</v>
      </c>
      <c r="V80" s="124">
        <v>30.7</v>
      </c>
      <c r="W80" s="124">
        <v>30.5</v>
      </c>
      <c r="X80" s="124">
        <v>30.8</v>
      </c>
      <c r="Y80" s="124">
        <v>30.5</v>
      </c>
      <c r="Z80" s="124">
        <v>31</v>
      </c>
      <c r="AA80" s="144">
        <v>30.6</v>
      </c>
      <c r="AB80" s="144">
        <v>31.3</v>
      </c>
      <c r="AC80" s="124">
        <v>30.8</v>
      </c>
      <c r="AD80" s="124">
        <v>31.5</v>
      </c>
      <c r="AE80" s="124">
        <v>31.1</v>
      </c>
      <c r="AF80" s="124">
        <v>31.87</v>
      </c>
      <c r="AG80" s="124">
        <v>31.5</v>
      </c>
      <c r="AH80" s="124">
        <v>32.200000000000003</v>
      </c>
      <c r="AI80" s="124">
        <v>32</v>
      </c>
      <c r="AJ80" s="124">
        <v>32.700000000000003</v>
      </c>
      <c r="AK80" s="144">
        <v>32.5</v>
      </c>
      <c r="AL80" s="144">
        <v>33</v>
      </c>
    </row>
    <row r="81" spans="2:38" s="14" customFormat="1" ht="17.25" customHeight="1" outlineLevel="1" x14ac:dyDescent="0.2">
      <c r="B81" s="100">
        <v>32</v>
      </c>
      <c r="C81" s="101" t="s">
        <v>76</v>
      </c>
      <c r="D81" s="103" t="s">
        <v>77</v>
      </c>
      <c r="E81" s="103"/>
      <c r="F81" s="105">
        <v>34331</v>
      </c>
      <c r="G81" s="105">
        <v>41899.1</v>
      </c>
      <c r="H81" s="124">
        <v>45811.4</v>
      </c>
      <c r="I81" s="124">
        <v>42631.7</v>
      </c>
      <c r="J81" s="124">
        <f>H81*99.45%</f>
        <v>45559.437300000005</v>
      </c>
      <c r="K81" s="124">
        <v>46185.2</v>
      </c>
      <c r="L81" s="124">
        <v>36698.699999999997</v>
      </c>
      <c r="M81" s="124">
        <f>K81*102%</f>
        <v>47108.903999999995</v>
      </c>
      <c r="N81" s="124">
        <f>K81*103%</f>
        <v>47570.756000000001</v>
      </c>
      <c r="O81" s="144">
        <f>M81*102%</f>
        <v>48051.082079999993</v>
      </c>
      <c r="P81" s="144">
        <f>M81*104.04%</f>
        <v>49012.103721599997</v>
      </c>
      <c r="Q81" s="124">
        <f>O81*102%</f>
        <v>49012.103721599997</v>
      </c>
      <c r="R81" s="124">
        <f>P81*103%</f>
        <v>50482.466833248</v>
      </c>
      <c r="S81" s="124">
        <f t="shared" ref="S81:Z81" si="56">Q81*102%</f>
        <v>49992.345796032001</v>
      </c>
      <c r="T81" s="124">
        <f t="shared" si="56"/>
        <v>51492.116169912959</v>
      </c>
      <c r="U81" s="124">
        <f t="shared" si="56"/>
        <v>50992.192711952644</v>
      </c>
      <c r="V81" s="124">
        <f t="shared" si="56"/>
        <v>52521.95849331122</v>
      </c>
      <c r="W81" s="124">
        <f t="shared" si="56"/>
        <v>52012.036566191695</v>
      </c>
      <c r="X81" s="124">
        <f t="shared" si="56"/>
        <v>53572.397663177442</v>
      </c>
      <c r="Y81" s="124">
        <f t="shared" si="56"/>
        <v>53052.277297515531</v>
      </c>
      <c r="Z81" s="124">
        <f t="shared" si="56"/>
        <v>54643.845616440994</v>
      </c>
      <c r="AA81" s="144">
        <v>53817.2</v>
      </c>
      <c r="AB81" s="144">
        <v>55432</v>
      </c>
      <c r="AC81" s="124">
        <f>AA81*102%</f>
        <v>54893.543999999994</v>
      </c>
      <c r="AD81" s="124">
        <f>AB81*102%</f>
        <v>56540.639999999999</v>
      </c>
      <c r="AE81" s="124">
        <f>AC81*102%</f>
        <v>55991.414879999997</v>
      </c>
      <c r="AF81" s="124">
        <f>AD81*102%</f>
        <v>57671.452799999999</v>
      </c>
      <c r="AG81" s="124">
        <f>AE81*102.5%</f>
        <v>57391.200251999995</v>
      </c>
      <c r="AH81" s="124">
        <f>AF81*103%</f>
        <v>59401.596384000004</v>
      </c>
      <c r="AI81" s="124">
        <f>AG81*102.5%</f>
        <v>58825.980258299991</v>
      </c>
      <c r="AJ81" s="124">
        <f>AH81*103.5%</f>
        <v>61480.652257440001</v>
      </c>
      <c r="AK81" s="144">
        <v>59198.9</v>
      </c>
      <c r="AL81" s="144">
        <v>62159</v>
      </c>
    </row>
    <row r="82" spans="2:38" s="14" customFormat="1" ht="17.25" customHeight="1" x14ac:dyDescent="0.2">
      <c r="B82" s="100">
        <v>33</v>
      </c>
      <c r="C82" s="101" t="s">
        <v>13</v>
      </c>
      <c r="D82" s="102" t="s">
        <v>8</v>
      </c>
      <c r="E82" s="102">
        <v>1.1000000000000001</v>
      </c>
      <c r="F82" s="102">
        <v>1.1000000000000001</v>
      </c>
      <c r="G82" s="102">
        <v>1.1000000000000001</v>
      </c>
      <c r="H82" s="140">
        <v>11.3</v>
      </c>
      <c r="I82" s="140">
        <v>1.1000000000000001</v>
      </c>
      <c r="J82" s="140">
        <v>1.1000000000000001</v>
      </c>
      <c r="K82" s="140">
        <v>0.5</v>
      </c>
      <c r="L82" s="140">
        <v>1.1000000000000001</v>
      </c>
      <c r="M82" s="140">
        <v>1</v>
      </c>
      <c r="N82" s="140">
        <v>1.1000000000000001</v>
      </c>
      <c r="O82" s="161">
        <v>1.1000000000000001</v>
      </c>
      <c r="P82" s="161">
        <v>1.1000000000000001</v>
      </c>
      <c r="Q82" s="140">
        <v>1.1000000000000001</v>
      </c>
      <c r="R82" s="140">
        <v>1.1000000000000001</v>
      </c>
      <c r="S82" s="140">
        <v>1.1000000000000001</v>
      </c>
      <c r="T82" s="140">
        <v>1.1000000000000001</v>
      </c>
      <c r="U82" s="140">
        <v>1.1000000000000001</v>
      </c>
      <c r="V82" s="140">
        <v>1.1000000000000001</v>
      </c>
      <c r="W82" s="140">
        <v>1.1000000000000001</v>
      </c>
      <c r="X82" s="140">
        <v>1.1000000000000001</v>
      </c>
      <c r="Y82" s="140">
        <v>1.1000000000000001</v>
      </c>
      <c r="Z82" s="140">
        <v>1.1000000000000001</v>
      </c>
      <c r="AA82" s="161">
        <v>1.1000000000000001</v>
      </c>
      <c r="AB82" s="161">
        <v>1.1000000000000001</v>
      </c>
      <c r="AC82" s="140">
        <v>1.1000000000000001</v>
      </c>
      <c r="AD82" s="140">
        <v>1.1000000000000001</v>
      </c>
      <c r="AE82" s="140">
        <v>1.1000000000000001</v>
      </c>
      <c r="AF82" s="140">
        <v>1.1000000000000001</v>
      </c>
      <c r="AG82" s="140">
        <v>1.1000000000000001</v>
      </c>
      <c r="AH82" s="140">
        <v>1.1000000000000001</v>
      </c>
      <c r="AI82" s="140">
        <v>1.1000000000000001</v>
      </c>
      <c r="AJ82" s="140">
        <v>1.1000000000000001</v>
      </c>
      <c r="AK82" s="161">
        <v>1.1000000000000001</v>
      </c>
      <c r="AL82" s="161">
        <v>1.1000000000000001</v>
      </c>
    </row>
    <row r="83" spans="2:38" x14ac:dyDescent="0.2">
      <c r="B83" s="13"/>
      <c r="C83" s="14"/>
      <c r="D83" s="14"/>
      <c r="E83" s="14"/>
    </row>
  </sheetData>
  <mergeCells count="36">
    <mergeCell ref="AG2:AL2"/>
    <mergeCell ref="F9:F10"/>
    <mergeCell ref="I9:J10"/>
    <mergeCell ref="O9:P9"/>
    <mergeCell ref="H9:H10"/>
    <mergeCell ref="G9:G10"/>
    <mergeCell ref="AC4:AD4"/>
    <mergeCell ref="S9:T9"/>
    <mergeCell ref="U9:V9"/>
    <mergeCell ref="W9:X9"/>
    <mergeCell ref="Y9:Z9"/>
    <mergeCell ref="AA9:AB9"/>
    <mergeCell ref="AC9:AD9"/>
    <mergeCell ref="B6:AL6"/>
    <mergeCell ref="AG9:AH9"/>
    <mergeCell ref="AI9:AJ9"/>
    <mergeCell ref="B54:B56"/>
    <mergeCell ref="B48:B50"/>
    <mergeCell ref="B51:B53"/>
    <mergeCell ref="B42:B44"/>
    <mergeCell ref="C8:C10"/>
    <mergeCell ref="B33:B35"/>
    <mergeCell ref="B36:B38"/>
    <mergeCell ref="B39:B41"/>
    <mergeCell ref="B30:B32"/>
    <mergeCell ref="B45:B47"/>
    <mergeCell ref="AK9:AL9"/>
    <mergeCell ref="B7:AL7"/>
    <mergeCell ref="AG4:AL5"/>
    <mergeCell ref="AE9:AF9"/>
    <mergeCell ref="B8:B10"/>
    <mergeCell ref="Q9:R9"/>
    <mergeCell ref="E9:E10"/>
    <mergeCell ref="D8:D10"/>
    <mergeCell ref="K9:L10"/>
    <mergeCell ref="M9:M10"/>
  </mergeCells>
  <pageMargins left="0.19685039370078741" right="0.19685039370078741" top="0.39370078740157483" bottom="0.19685039370078741" header="0" footer="0"/>
  <pageSetup paperSize="9" scale="25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cols>
    <col min="1" max="1" width="9.140625" customWidth="1"/>
    <col min="9" max="9" width="11.85546875" customWidth="1"/>
    <col min="10" max="10" width="14.140625" customWidth="1"/>
  </cols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долгосрочный</vt:lpstr>
      <vt:lpstr>Лист1</vt:lpstr>
      <vt:lpstr>долгосрочный!Заголовки_для_печати</vt:lpstr>
      <vt:lpstr>долгосрочный!Область_печати</vt:lpstr>
    </vt:vector>
  </TitlesOfParts>
  <Company>economy.gov.ru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Borovaya</dc:creator>
  <cp:lastModifiedBy>priemnaya1</cp:lastModifiedBy>
  <cp:lastPrinted>2023-11-28T08:00:56Z</cp:lastPrinted>
  <dcterms:created xsi:type="dcterms:W3CDTF">2013-05-25T16:45:04Z</dcterms:created>
  <dcterms:modified xsi:type="dcterms:W3CDTF">2023-11-28T08:01:22Z</dcterms:modified>
</cp:coreProperties>
</file>